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620" tabRatio="879" activeTab="0"/>
  </bookViews>
  <sheets>
    <sheet name="Rebate Areas" sheetId="1" r:id="rId1"/>
    <sheet name="Ceiling" sheetId="2" r:id="rId2"/>
    <sheet name="Roof Ins" sheetId="3" r:id="rId3"/>
    <sheet name="Cool Roof" sheetId="4" r:id="rId4"/>
    <sheet name="DCV" sheetId="5" r:id="rId5"/>
    <sheet name="ERV" sheetId="6" r:id="rId6"/>
    <sheet name="Chillers" sheetId="7" r:id="rId7"/>
    <sheet name="Small HP" sheetId="8" r:id="rId8"/>
    <sheet name="Unitary" sheetId="9" r:id="rId9"/>
    <sheet name="PTAC" sheetId="10" r:id="rId10"/>
    <sheet name="Coil" sheetId="11" r:id="rId11"/>
    <sheet name="Duct" sheetId="12" r:id="rId12"/>
    <sheet name="Chlr Tune" sheetId="13" r:id="rId13"/>
    <sheet name="HVAC Tune" sheetId="14" r:id="rId14"/>
    <sheet name="Roof HVAC" sheetId="15" r:id="rId15"/>
    <sheet name="FL Custom" sheetId="16" r:id="rId16"/>
    <sheet name="Overview" sheetId="17" r:id="rId17"/>
  </sheets>
  <definedNames>
    <definedName name="_xlnm.Print_Area" localSheetId="1">'Ceiling'!$A$1:$J$15</definedName>
    <definedName name="_xlnm.Print_Area" localSheetId="6">'Chillers'!$A$1:$J$21</definedName>
    <definedName name="_xlnm.Print_Area" localSheetId="12">'Chlr Tune'!$A$1:$J$12</definedName>
    <definedName name="_xlnm.Print_Area" localSheetId="10">'Coil'!$A$1:$J$12</definedName>
    <definedName name="_xlnm.Print_Area" localSheetId="3">'Cool Roof'!$A$1:$J$15</definedName>
    <definedName name="_xlnm.Print_Area" localSheetId="4">'DCV'!$A$1:$J$12</definedName>
    <definedName name="_xlnm.Print_Area" localSheetId="11">'Duct'!$A$1:$J$15</definedName>
    <definedName name="_xlnm.Print_Area" localSheetId="5">'ERV'!$A$1:$J$13</definedName>
    <definedName name="_xlnm.Print_Area" localSheetId="15">'FL Custom'!$A$1:$J$12</definedName>
    <definedName name="_xlnm.Print_Area" localSheetId="13">'HVAC Tune'!$A$1:$J$11</definedName>
    <definedName name="_xlnm.Print_Area" localSheetId="9">'PTAC'!$A$1:$J$14</definedName>
    <definedName name="_xlnm.Print_Area" localSheetId="0">'Rebate Areas'!$B$8:$F$30</definedName>
    <definedName name="_xlnm.Print_Area" localSheetId="14">'Roof HVAC'!$A$1:$J$10</definedName>
    <definedName name="_xlnm.Print_Area" localSheetId="2">'Roof Ins'!$A$1:$J$14</definedName>
    <definedName name="_xlnm.Print_Area" localSheetId="7">'Small HP'!$A$1:$J$17</definedName>
    <definedName name="_xlnm.Print_Area" localSheetId="8">'Unitary'!$A$1:$J$13</definedName>
  </definedNames>
  <calcPr fullCalcOnLoad="1"/>
</workbook>
</file>

<file path=xl/sharedStrings.xml><?xml version="1.0" encoding="utf-8"?>
<sst xmlns="http://schemas.openxmlformats.org/spreadsheetml/2006/main" count="584" uniqueCount="302">
  <si>
    <t>Item</t>
  </si>
  <si>
    <t>Retrofit</t>
  </si>
  <si>
    <t>New Construction</t>
  </si>
  <si>
    <t>Cool Roof</t>
  </si>
  <si>
    <t>Duct Check Program</t>
  </si>
  <si>
    <t>Demand Control Ventilation</t>
  </si>
  <si>
    <t>Ceiling Insulation Upgrade</t>
  </si>
  <si>
    <t>Roof Insulation Upgrade</t>
  </si>
  <si>
    <t>Rooftop HVAC Recommissioning</t>
  </si>
  <si>
    <t>Incentive Requirements</t>
  </si>
  <si>
    <t>Rooftop HVAC recommissioning is a one-time incentive.</t>
  </si>
  <si>
    <t>The insulation must be installed in the roof deck assembly.</t>
  </si>
  <si>
    <t>Duct test and repairs are for businesses with centrally ducted electric heating and cooling systems.</t>
  </si>
  <si>
    <t>HVAC systems must be 5.5 tons or less (65,000 BTUs).</t>
  </si>
  <si>
    <t>Customer must provide an engineering report documenting DCV system and projected HVAC tonnage reduction.</t>
  </si>
  <si>
    <t>Applied by a licensed contractor.</t>
  </si>
  <si>
    <t>Facilities with dropped acoustic tile ceilings do not qualify.</t>
  </si>
  <si>
    <t>Flat roofs must have space to allow a minimum of three inches of air space above new insulation.</t>
  </si>
  <si>
    <t>Insulation must have a minimum clearance (meeting state, county and local codes) around all recessed lighting and gas-fired appliances.</t>
  </si>
  <si>
    <t>Radiant barriers are not allowed as a substitute for insulation.</t>
  </si>
  <si>
    <t>High Efficiency Energy Recovery Ventilation (ERV)</t>
  </si>
  <si>
    <t>High Efficiency ERV</t>
  </si>
  <si>
    <t>Equipment must be listed by Underwriters Laboratories (or other nationally recognized testing laboratories in accordance with UL standards).</t>
  </si>
  <si>
    <t>Quantities</t>
  </si>
  <si>
    <t>Media Inches</t>
  </si>
  <si>
    <t>Roof plan with Area (SF)</t>
  </si>
  <si>
    <t>R-Value (Final)</t>
  </si>
  <si>
    <t>Project # and Name</t>
  </si>
  <si>
    <t>150-300 tons</t>
  </si>
  <si>
    <t>Rebate Home</t>
  </si>
  <si>
    <t>UF Project Manager</t>
  </si>
  <si>
    <t>Customer Requirements</t>
  </si>
  <si>
    <t>Cooling system must be all electric</t>
  </si>
  <si>
    <t>Heat pump must be all electric</t>
  </si>
  <si>
    <t>All equipment must be new and not refurbished, previously installed, or used</t>
  </si>
  <si>
    <t>System must have electric cooling and heating</t>
  </si>
  <si>
    <r>
      <rPr>
        <b/>
        <sz val="11"/>
        <color indexed="8"/>
        <rFont val="Calibri"/>
        <family val="2"/>
      </rPr>
      <t>General Disclaimer</t>
    </r>
    <r>
      <rPr>
        <sz val="11"/>
        <color theme="1"/>
        <rFont val="Calibri"/>
        <family val="2"/>
      </rPr>
      <t xml:space="preserve">
In the event of an omission of Customer Requirements or Required Documents, Progress Energy Better Business (Retrofit) &amp; New Construction Program documents supersede all items found in this Rebate Checklist</t>
    </r>
  </si>
  <si>
    <t xml:space="preserve">UF Building Name and Number </t>
  </si>
  <si>
    <t>Contact Information</t>
  </si>
  <si>
    <t>Square Feet</t>
  </si>
  <si>
    <t>Project Information</t>
  </si>
  <si>
    <t>Commercial multifamily units will be qualified as individual units for incentive purposes.</t>
  </si>
  <si>
    <t>Updated:</t>
  </si>
  <si>
    <t>Example</t>
  </si>
  <si>
    <t>Customer Qualifications</t>
  </si>
  <si>
    <t>Substantial Completion or Certificate of Operation form</t>
  </si>
  <si>
    <t>Required Documents for Submission Checklist</t>
  </si>
  <si>
    <t xml:space="preserve">ENERGY STAR® labeled roof product based on ASTM E-903 or ASTM C-1549 testing. </t>
  </si>
  <si>
    <t>Resources</t>
  </si>
  <si>
    <t>Cool Roof Rating Council</t>
  </si>
  <si>
    <t>HVAC equipment must be electric</t>
  </si>
  <si>
    <t>Multifamiliy units greater than one story in height can only have the top floor duct system(s) repaired or sealed due to safety concerns.</t>
  </si>
  <si>
    <t>*</t>
  </si>
  <si>
    <t>Confirm ERV unit ARI 1060 rating is greater than 65 percent winter effectiveness @ 100% air flow.</t>
  </si>
  <si>
    <t>Invoices or an email from contractor indicating the cost of the system/material</t>
  </si>
  <si>
    <t>The weighted average R-value of the existing insulation above the conditioned space must be less than or equal to R-12</t>
  </si>
  <si>
    <t>Sensors should be placed in locations so they are not accessible by building occupants</t>
  </si>
  <si>
    <t>The incentive rebate will not exceed 50% of the total HVAC project or service cost</t>
  </si>
  <si>
    <t>Duke Energy Rebate Program</t>
  </si>
  <si>
    <t>Project SF</t>
  </si>
  <si>
    <t>Small Heat Pumps (&lt;65,000Btu/h)</t>
  </si>
  <si>
    <t>High Efficiency Chillers</t>
  </si>
  <si>
    <t>PTHPs &amp; PTACs</t>
  </si>
  <si>
    <t>Chiller Tuneup</t>
  </si>
  <si>
    <t>HVAC Tuneup</t>
  </si>
  <si>
    <t>PTAC/PTHP Coil Cleaning</t>
  </si>
  <si>
    <t>Florida Custom</t>
  </si>
  <si>
    <t>Eligible facilities must have central electric air conditioning and central electric heating (non-portable).</t>
  </si>
  <si>
    <t>Insulatoin must have a minimum value of either R-19 or R-38 and be uniformly installed.</t>
  </si>
  <si>
    <t xml:space="preserve">Building must be at least two years old at the time of the audit.  </t>
  </si>
  <si>
    <t>Invoices from contractor indicating system/material costs</t>
  </si>
  <si>
    <t>Substantial Completion or Certificate of Occupancy form</t>
  </si>
  <si>
    <t>Floor plan with Ceiling Area (SF)</t>
  </si>
  <si>
    <t>FINAL R-Value of Upgraded Insulation</t>
  </si>
  <si>
    <t xml:space="preserve">Contractors Submittal (specs/datasheets) </t>
  </si>
  <si>
    <t>Earn $0.15/square foot of roof, with a maximum incentive of $50,000 per building.</t>
  </si>
  <si>
    <t>Initial solar reflectance must be greater than or equal to 0.76, which means the cool roof is reflecting 76 percent of the solar radiation.</t>
  </si>
  <si>
    <t>Cool Roof must be flat and  over conditioned space.</t>
  </si>
  <si>
    <t>Contractor submittals (specs)</t>
  </si>
  <si>
    <t>Small Heat Pumps</t>
  </si>
  <si>
    <t>Energy Recovery Ventilation</t>
  </si>
  <si>
    <t>Unitary AC Units and Heat Pumps</t>
  </si>
  <si>
    <t>PTHPs and PTACs</t>
  </si>
  <si>
    <t>Coil Cleaning</t>
  </si>
  <si>
    <t>Custom Incentives</t>
  </si>
  <si>
    <t>DCV installation must include CO2 measuring sensors that adjust ventilation rate based on varying occupancy by integrating CO2 sensor readings to control outside air dampers. Other ventilation rate control methods are accepted.</t>
  </si>
  <si>
    <t>Engineering report documenting DCV system and projected HVAC tonnage reduction.</t>
  </si>
  <si>
    <t>Contractor's Submittal with system size (tons) and performance</t>
  </si>
  <si>
    <t>In commercial multifamily units, if the contractor seals all joints and connections of the duct work, no duct test is required.</t>
  </si>
  <si>
    <t>Invoices from contractor indicating system/QTY/material costs</t>
  </si>
  <si>
    <r>
      <rPr>
        <b/>
        <sz val="11"/>
        <color indexed="8"/>
        <rFont val="Calibri"/>
        <family val="2"/>
      </rPr>
      <t>Replacing Resistance Heat:</t>
    </r>
    <r>
      <rPr>
        <sz val="11"/>
        <color theme="1"/>
        <rFont val="Calibri"/>
        <family val="2"/>
      </rPr>
      <t xml:space="preserve">
Required cooling efficiency of 15 SEER and a minimum heating efficiency of 8.2 HSPF</t>
    </r>
  </si>
  <si>
    <r>
      <rPr>
        <b/>
        <sz val="11"/>
        <color indexed="8"/>
        <rFont val="Calibri"/>
        <family val="2"/>
      </rPr>
      <t>Replacing Heat Pump:</t>
    </r>
    <r>
      <rPr>
        <sz val="11"/>
        <color theme="1"/>
        <rFont val="Calibri"/>
        <family val="2"/>
      </rPr>
      <t xml:space="preserve">
Required cooling efficiency of 15 SEER and a minimum heating efficiency of 8.2 HSPF</t>
    </r>
  </si>
  <si>
    <t>Small Heat Pump</t>
  </si>
  <si>
    <t>If the capacity of the high-efficiency unit differs from that of the original unit - or if the high-efficiency unit is adding cooling to previously unconditined space - then cooling and heating load calculations nust also be performed</t>
  </si>
  <si>
    <t>Invoices from the contractor indicating system/material costs</t>
  </si>
  <si>
    <t>Unit Quantities</t>
  </si>
  <si>
    <t>Contractor submittals</t>
  </si>
  <si>
    <t>Exanple</t>
  </si>
  <si>
    <t>ERV must be a minimum of 450 CFM per unit.</t>
  </si>
  <si>
    <t>Equipment efficiency ratings from Air Conditioning, Heating, and Refrigeration Institute (AHRI) should meet or exceed rating procedure standard 1060-2000.</t>
  </si>
  <si>
    <t>Invoices contractor indicating system/material costs</t>
  </si>
  <si>
    <t>Contractor submittals with AHRI 1060 Rating (SCFM), Winter effectiveness (%)</t>
  </si>
  <si>
    <t>High Efficiency Energy Recovery Ventilation</t>
  </si>
  <si>
    <t>Unitary AC Units &amp; Heat Pumps (&gt;65,000</t>
  </si>
  <si>
    <t>Ensure all equipment meets Air Conditioning, Heating, and Refrigeration Institute (AHRI) certification efficeency data at Standard Rating Conditions (AHRI 210/240-94 for units &lt;135,000 Btu/h and 340/360 for units &gt; 135,000 Btu/h)</t>
  </si>
  <si>
    <t>Confirm that cooling and heating load calculation are performed if the capacity of the high efficiency unit differs from that of the original unit or if the high efficiency unit is adding cooling or heating to previously unconditioned space.</t>
  </si>
  <si>
    <t>Minimum efficiency can be either FL. Or IPLV.</t>
  </si>
  <si>
    <t xml:space="preserve">Chiller efficiencies and performance specifications should be calculated at Air Conditioning, Heating, and Refrigeration Institute (AHRI) test conditions (550/590 Test Standards.)
</t>
  </si>
  <si>
    <t>For air cooled and water cooled electric chillers, confirm that cooling load calculations are performed if the capacity of the high efficiency unit differs from that of the original unit or if the high efficiency uint is adding cooling to previously unconditioned space.</t>
  </si>
  <si>
    <t>Invoice(s) for unit costs</t>
  </si>
  <si>
    <t>Contractors submittal</t>
  </si>
  <si>
    <t>FL: 0.634 kW/ton IPLV: 0.596 kW/ton</t>
  </si>
  <si>
    <t>EEB Incentive Eligibility Requirements</t>
  </si>
  <si>
    <t>AIR COOLED AND WATER COOLED ELECTRIC CHILLERS (AHRI 550/590 Test Standards)</t>
  </si>
  <si>
    <t>Chiller Type and Size Range</t>
  </si>
  <si>
    <t>2010 State Energy Code Standard</t>
  </si>
  <si>
    <t>Water Cooled Centrifugal</t>
  </si>
  <si>
    <t>FL: 0.571 kW/ton IPLV: 0.405 kW/ton</t>
  </si>
  <si>
    <t>Under 150 tons</t>
  </si>
  <si>
    <t>300-600 tons</t>
  </si>
  <si>
    <t>FL: 0.576 kW/ton IPLV: 0.549 kW/ton</t>
  </si>
  <si>
    <t>FL: 0.513 kW/ton IPLV: 0.360 kW/ton</t>
  </si>
  <si>
    <t>Over 600 tons</t>
  </si>
  <si>
    <t>FL: 0.570 kW/ton IPLV: 0.539 kW/ton</t>
  </si>
  <si>
    <t>Water Cooled Positive Displacement</t>
  </si>
  <si>
    <t>Under 75 tons</t>
  </si>
  <si>
    <t>FL: 0.780 kW/ton IPLV: 0.630 kW/ton</t>
  </si>
  <si>
    <t>FL: 0.760 kW/ton IPLV: 0.540 kW/ton</t>
  </si>
  <si>
    <t>75-150 tons</t>
  </si>
  <si>
    <t>FL: 0.775 kW/ton IPLV: 0.615 kW/ton</t>
  </si>
  <si>
    <t>FL: 0.750 kW/ton IPLV: 0.527 kW/ton</t>
  </si>
  <si>
    <t>FL: 0.680 kW/ton IPLV: 0.580 kW/ton</t>
  </si>
  <si>
    <t>FL: 0.660 kW/ton IPLV: 0.486 kW/ton</t>
  </si>
  <si>
    <t>Over 300 tons</t>
  </si>
  <si>
    <t>FL: 0.620 kW/ton IPLV: 0.540 kW/ton</t>
  </si>
  <si>
    <t>FL: 0.610 kW/ton IPLV: 0.441 kW/ton</t>
  </si>
  <si>
    <t>Air Cooled</t>
  </si>
  <si>
    <t>Any Size</t>
  </si>
  <si>
    <t>FL: 9.562 EER IPLV: 12.50 EER</t>
  </si>
  <si>
    <t>FL: 10.16 EER IPLV: 13.75 EER</t>
  </si>
  <si>
    <t>*Full Load</t>
  </si>
  <si>
    <t>**Integrated Part Load Value</t>
  </si>
  <si>
    <t>FL*: 0.634 kW/ton IPLV**: 0.596 kW/ton</t>
  </si>
  <si>
    <t>Provide an itemized inventory of equipment installed and Air Conditioning, Heating, and Refrigeration Institute (AHRI) certification data at Standard Rating Conditions (AHRI 310/380)</t>
  </si>
  <si>
    <t>Cooling load calculations msut be performed if the capacity of the high efficiency unit differs from that of the original unit or if the high efficiency unit is adding cooling to previously unconditioned space.</t>
  </si>
  <si>
    <t>Invoices of material costs</t>
  </si>
  <si>
    <t>Contractor's submittal</t>
  </si>
  <si>
    <t>Minimum Efficiency Eligible for Incentive</t>
  </si>
  <si>
    <t>This incentive is available only once over the life of the chiller.</t>
  </si>
  <si>
    <t>Ensure that all equipment tuneups and repairs meet manufacturer's instructions and specifications.</t>
  </si>
  <si>
    <t>This incentive is capped at a maximum of 50 percent of the total project cost.</t>
  </si>
  <si>
    <t>Invoices from contractor indicating system tuneup/material costs/repair costs</t>
  </si>
  <si>
    <t>Contractor submit Chiller Tuneup Form</t>
  </si>
  <si>
    <t>This incentive is available only once over the life of the HVAC unit.</t>
  </si>
  <si>
    <t>Contractor submit HVAC Tuneup Form</t>
  </si>
  <si>
    <t>The insulation must be installed per the manufacturer’s recommendations and specifications.</t>
  </si>
  <si>
    <t>The insulation must be installed uniformly, resulting in a minimum R-19 for retrofit projects and greater than R-38 for new construction.</t>
  </si>
  <si>
    <t>The weighted average R-value of the existing insulation under the total roof square footage (above the conditioned space) must be less than R-12.</t>
  </si>
  <si>
    <t>Eligible facilities must have whole-facility electric air conditioning and whole-facility electric heating (nonportable).</t>
  </si>
  <si>
    <t>Maximum incentive payout is $50,000 per Building</t>
  </si>
  <si>
    <t>Invoices from contractor indicating roof system/material costs</t>
  </si>
  <si>
    <t>Contractor's submittal and supporting documents</t>
  </si>
  <si>
    <t>Certificate of Occupancy form</t>
  </si>
  <si>
    <t>Confirm that all equipment tuneups and repairs must meet manufacturers’ instructions and specifications.</t>
  </si>
  <si>
    <t>Incentive is capped at a maximum of 50 percent of the total project cost.</t>
  </si>
  <si>
    <t>Invoice from contractor with system/repair costs</t>
  </si>
  <si>
    <t>Contractor submit recommissioning form</t>
  </si>
  <si>
    <t>Ensure the cleaning process to be used is preapproved by a Duke energy inspector.</t>
  </si>
  <si>
    <t>All qualifying HVAC equipment are eligible for a one-time coil cleaning incentive over their lifetime.</t>
  </si>
  <si>
    <t>The maximum incentive payout cannot exceed 50% of the total project or service cost.</t>
  </si>
  <si>
    <t>Invoices from a licensed contractor indicating system/material costs and an inventory of equipment cleaned.</t>
  </si>
  <si>
    <t>Florida Custom Program</t>
  </si>
  <si>
    <t>The objective of the Florida Custom Program is to encourage customers to make capital investments for the installation of energy efficiency measures which reduce peak kW demand and/or kWh energy on the DEF system. Energy efficiency and peak demand deferrals are the result. Eligible projects include, but are not limited to, new technologies, which emerge from national, State and local sources that have proven to be cost-effective and are not otherwise addressed by DEF programs. Each project will be evaluated for cost-effectiveness based on its demand and energy effects to determine the applicable RIM-based incentive.</t>
  </si>
  <si>
    <t>Submit a Florida Custom Program Pre-Application Questionaire</t>
  </si>
  <si>
    <t>Questionaire</t>
  </si>
  <si>
    <t>Contractor submit Duct Check form</t>
  </si>
  <si>
    <t>Duct check procedures must be completed by a DEF approved contractor*.</t>
  </si>
  <si>
    <t>DEF Approved Contractors</t>
  </si>
  <si>
    <r>
      <rPr>
        <b/>
        <i/>
        <sz val="11"/>
        <color indexed="8"/>
        <rFont val="Calibri"/>
        <family val="2"/>
      </rPr>
      <t>Instructions:</t>
    </r>
    <r>
      <rPr>
        <i/>
        <sz val="11"/>
        <color indexed="8"/>
        <rFont val="Calibri"/>
        <family val="2"/>
      </rPr>
      <t xml:space="preserve"> Below fill in the Project and Contact Information completely.  Next, mark an "X" for each potential rebate the project may be eligible for.  Grayed out boxes indicate ineligible programs for participation.  For each requested rebate, please either click the hyperlink to the right or visit the respective tab at the bottom of this spreadsheet.  Once all the required documentation has been gathered, please contact Dustin Stephany for processing.</t>
    </r>
  </si>
  <si>
    <t>AHU Quantities</t>
  </si>
  <si>
    <t>Inform Duke Energy of the cleaning date to allow for random inspections of the cleaning process.</t>
  </si>
  <si>
    <t>Unit</t>
  </si>
  <si>
    <t>SF</t>
  </si>
  <si>
    <t>Incentive</t>
  </si>
  <si>
    <t>Measure</t>
  </si>
  <si>
    <t>no electric heat</t>
  </si>
  <si>
    <t>electric heat</t>
  </si>
  <si>
    <t>ton</t>
  </si>
  <si>
    <t>Duct Check and Repair Program</t>
  </si>
  <si>
    <t>Responsible Party</t>
  </si>
  <si>
    <t>PDC</t>
  </si>
  <si>
    <t>Duct Test (additional)</t>
  </si>
  <si>
    <t>Duct Test (1st Unit)</t>
  </si>
  <si>
    <t>Duct Repair non ducted electrical heat</t>
  </si>
  <si>
    <t>Duct Repair ducted electrical heat</t>
  </si>
  <si>
    <t>AHU Unit</t>
  </si>
  <si>
    <t>25% repair</t>
  </si>
  <si>
    <t>50% repair</t>
  </si>
  <si>
    <t>Replacing heat pump</t>
  </si>
  <si>
    <t>per system</t>
  </si>
  <si>
    <t>Replacing resistance heat</t>
  </si>
  <si>
    <t>No electric heat</t>
  </si>
  <si>
    <t>With electric heat</t>
  </si>
  <si>
    <t>Per CFM</t>
  </si>
  <si>
    <t>Large AC Units</t>
  </si>
  <si>
    <t>Large Heat Pumps</t>
  </si>
  <si>
    <t>Per ton</t>
  </si>
  <si>
    <t>Air and Water cooled</t>
  </si>
  <si>
    <t>PTACs replacing less efficent PTAC</t>
  </si>
  <si>
    <t>PTHP replacing PTACs</t>
  </si>
  <si>
    <t>Chiller Tune Up</t>
  </si>
  <si>
    <t>Strait Cool</t>
  </si>
  <si>
    <t>Heat Pump</t>
  </si>
  <si>
    <t>New Construction R-38</t>
  </si>
  <si>
    <t>Retrofit R-19</t>
  </si>
  <si>
    <t>Per SF</t>
  </si>
  <si>
    <t>Please identify the number of AHU units associated to the project</t>
  </si>
  <si>
    <t>Rebate Calculation Assistance</t>
  </si>
  <si>
    <t>MBH</t>
  </si>
  <si>
    <t>MBTU/H</t>
  </si>
  <si>
    <t>BTU/H</t>
  </si>
  <si>
    <t>Tons</t>
  </si>
  <si>
    <t>Total Potential Rebate</t>
  </si>
  <si>
    <t>Ceiling Insulation</t>
  </si>
  <si>
    <t>Please indicate the R-Value of the Ceiling insulation</t>
  </si>
  <si>
    <t>R-</t>
  </si>
  <si>
    <t>Please enter the total SF of celing area</t>
  </si>
  <si>
    <t>Please enter the total SF of roof area</t>
  </si>
  <si>
    <t>Please identify the number of duct units tested</t>
  </si>
  <si>
    <t>Do the duct units repaired have electrical heat installed in it?</t>
  </si>
  <si>
    <t>Yes</t>
  </si>
  <si>
    <t>No</t>
  </si>
  <si>
    <t>Maybe</t>
  </si>
  <si>
    <t>Please identify the repair costs for repairing ducts</t>
  </si>
  <si>
    <t>Total Potential Rebates</t>
  </si>
  <si>
    <t>Rebate from duct testing</t>
  </si>
  <si>
    <t>Rebate from fixing duct work</t>
  </si>
  <si>
    <t>Please identify the number of small heat pumps to be replaced</t>
  </si>
  <si>
    <t>Small Heat Pump (&lt;65,000Btu/h or 5.5 tons)</t>
  </si>
  <si>
    <t xml:space="preserve">Do these heat pumps have heat resistance? </t>
  </si>
  <si>
    <t>Potential Rebate</t>
  </si>
  <si>
    <t>Please identify the total cooling capacity of the chiller being installed (in tons)</t>
  </si>
  <si>
    <t>Single Package Vertical Units Also qualify for this rebate</t>
  </si>
  <si>
    <t>Single Package Vertical Units, Unitary AC Units &amp; Heat Pumps (&gt;65,000 Btu/h)</t>
  </si>
  <si>
    <t>Packaged Terminal Heat Pumps (PTHPs) &amp; Packaged Terminal Air Conditioners (PTACs)</t>
  </si>
  <si>
    <t>Please indicate the total number of PTHPs and/or PTACs</t>
  </si>
  <si>
    <t>Please indicate the total cooling capacity of each unit (tons)</t>
  </si>
  <si>
    <t>Please indicate the total cost to repair/tuneup the chiller</t>
  </si>
  <si>
    <t>Please indicate the total cooling capacity of the chiller (in tons)</t>
  </si>
  <si>
    <t>Unitary Air Handler Unit and Heat Pumps (&gt; 65,000 Btu/h)</t>
  </si>
  <si>
    <t>Please indicate the number of units being tuned up</t>
  </si>
  <si>
    <t>Please indciate the tonnage of each unit</t>
  </si>
  <si>
    <t xml:space="preserve">Is this project considered new construction or a renovation? </t>
  </si>
  <si>
    <t xml:space="preserve">What is the R-Value of the Roof insulation? </t>
  </si>
  <si>
    <t xml:space="preserve">What is the area of the roof?  </t>
  </si>
  <si>
    <t>If sloped please include actual area not floor area covered</t>
  </si>
  <si>
    <t>Please indicate the number of Rooftop Units being Recommissioned</t>
  </si>
  <si>
    <t>Please identify the size of the ERV measured in CFM</t>
  </si>
  <si>
    <t>Contact PDC Sustainable Building Coordinator</t>
  </si>
  <si>
    <t>Please indicate the Initial Solar Reflectance value for the roofing material</t>
  </si>
  <si>
    <t>SR 76</t>
  </si>
  <si>
    <t>Initial Solar Reflectance</t>
  </si>
  <si>
    <t>FS</t>
  </si>
  <si>
    <t>Documentation needed</t>
  </si>
  <si>
    <t>Substantial Completion Form</t>
  </si>
  <si>
    <t>Product Submittals</t>
  </si>
  <si>
    <t>Product Invoices</t>
  </si>
  <si>
    <t>Documented R-Value</t>
  </si>
  <si>
    <t>Tonnage Reduction Calculations</t>
  </si>
  <si>
    <t>Rebate Type</t>
  </si>
  <si>
    <t>X</t>
  </si>
  <si>
    <t>R-19 (retrofit), R-38 (new)</t>
  </si>
  <si>
    <t>CO2 sensor adjusts ventilation OA dampers, sensor location should not be accessible by building occupant</t>
  </si>
  <si>
    <t>65% Winter Effectiveness @100% airflow, minimum of 450cfm</t>
  </si>
  <si>
    <t>Efficiencies are based on size of unit.  Please confirm with Duke Energy Representative</t>
  </si>
  <si>
    <t>Units to obtain an Air Conditioning, Heating, and Refrigeration Insitute (AHRI) Certification</t>
  </si>
  <si>
    <t>One-time rebate for the life of the unit</t>
  </si>
  <si>
    <t>Repair/tuneup to manufactuers specs, one-time rebate for life of unit</t>
  </si>
  <si>
    <t>University of Florida Facilities Services</t>
  </si>
  <si>
    <t>University of Florida Planning, Design &amp; Construction</t>
  </si>
  <si>
    <t>Initial Solar Reflectance ≥0.76, Roofing material to be Energy Star labeled or CRRC certified</t>
  </si>
  <si>
    <t>No drop ceilings, flat roof w/3" air gap, upgrade R-value from &lt;R-12 to R-19 (existing&gt;=2yrs) or  R-38 (new)</t>
  </si>
  <si>
    <t>Heat Pump or Resistance Heat (Cooling efficiency of SEER≥15 and heating efficiency ≥8.2 HSPF)</t>
  </si>
  <si>
    <t>Unit to be 5.5tons or less, more rebate available if using ducted electric reheat</t>
  </si>
  <si>
    <t>Floor Plan w/ Conditioned Area Calculation</t>
  </si>
  <si>
    <t>Total Tonnage Cleaned</t>
  </si>
  <si>
    <t>Submit Duke Energy Form</t>
  </si>
  <si>
    <t>Invoices for products/services supporitng DCV (CO2 sensors, wiring, engineering &amp; design, M&amp;V, etc.)</t>
  </si>
  <si>
    <t>R-19 to R-37</t>
  </si>
  <si>
    <t>&gt; R-38</t>
  </si>
  <si>
    <t>Please indicate the tonnage reduction controlled by the CO2 sensors</t>
  </si>
  <si>
    <t>AHU/RTU</t>
  </si>
  <si>
    <t>per ton</t>
  </si>
  <si>
    <t>PTAC/PTHP</t>
  </si>
  <si>
    <t>Per unit</t>
  </si>
  <si>
    <t>Please indciate the tonnage of each AHU or RTU</t>
  </si>
  <si>
    <t>Please indicate the number of AHU/RTU with coils cleaned</t>
  </si>
  <si>
    <t>Please indicate the number of PTAC/PTHP units</t>
  </si>
  <si>
    <t>Units</t>
  </si>
  <si>
    <t>OR</t>
  </si>
  <si>
    <t>Insulation must be over conditoined space; facility must have electronic AC and Unit</t>
  </si>
  <si>
    <t>Air Cooled Chillers to have ≥10.7 EER or IPLV ≥14.95</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</si>
</sst>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 numFmtId="170" formatCode="[$-409]dddd\,\ mmmm\ dd\,\ yyyy"/>
    <numFmt numFmtId="171" formatCode="[$-409]h:mm:ss\ AM/PM"/>
    <numFmt numFmtId="172" formatCode="0.0000"/>
    <numFmt numFmtId="173" formatCode="0.000"/>
    <numFmt numFmtId="174" formatCode="0.0"/>
    <numFmt numFmtId="175" formatCode="_(* #,##0.0_);_(* \(#,##0.0\);_(* &quot;-&quot;??_);_(@_)"/>
    <numFmt numFmtId="176" formatCode="_(* #,##0_);_(* \(#,##0\);_(* &quot;-&quot;??_);_(@_)"/>
    <numFmt numFmtId="177" formatCode="&quot;$&quot;#,##0.00"/>
    <numFmt numFmtId="178" formatCode="&quot;$&quot;#,##0.0"/>
    <numFmt numFmtId="179" formatCode="&quot;$&quot;#,##0"/>
    <numFmt numFmtId="180" formatCode="_(&quot;$&quot;* #,##0.000_);_(&quot;$&quot;* \(#,##0.000\);_(&quot;$&quot;* &quot;-&quot;??_);_(@_)"/>
  </numFmts>
  <fonts count="79">
    <font>
      <sz val="11"/>
      <color theme="1"/>
      <name val="Calibri"/>
      <family val="2"/>
    </font>
    <font>
      <sz val="11"/>
      <color indexed="8"/>
      <name val="Calibri"/>
      <family val="2"/>
    </font>
    <font>
      <b/>
      <sz val="11"/>
      <color indexed="8"/>
      <name val="Calibri"/>
      <family val="2"/>
    </font>
    <font>
      <i/>
      <sz val="11"/>
      <color indexed="8"/>
      <name val="Calibri"/>
      <family val="2"/>
    </font>
    <font>
      <b/>
      <i/>
      <sz val="11"/>
      <color indexed="8"/>
      <name val="Calibri"/>
      <family val="2"/>
    </font>
    <font>
      <b/>
      <sz val="1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2"/>
      <color indexed="8"/>
      <name val="Calibri"/>
      <family val="2"/>
    </font>
    <font>
      <b/>
      <u val="single"/>
      <sz val="11"/>
      <color indexed="8"/>
      <name val="Calibri"/>
      <family val="2"/>
    </font>
    <font>
      <sz val="10"/>
      <color indexed="8"/>
      <name val="Arial"/>
      <family val="2"/>
    </font>
    <font>
      <b/>
      <sz val="10"/>
      <color indexed="8"/>
      <name val="Arial"/>
      <family val="2"/>
    </font>
    <font>
      <b/>
      <sz val="10"/>
      <color indexed="53"/>
      <name val="Arial"/>
      <family val="2"/>
    </font>
    <font>
      <b/>
      <sz val="10"/>
      <color indexed="12"/>
      <name val="Arial"/>
      <family val="2"/>
    </font>
    <font>
      <sz val="26"/>
      <color indexed="8"/>
      <name val="Calibri"/>
      <family val="2"/>
    </font>
    <font>
      <b/>
      <sz val="18"/>
      <color indexed="8"/>
      <name val="Calibri"/>
      <family val="2"/>
    </font>
    <font>
      <b/>
      <sz val="12"/>
      <color indexed="12"/>
      <name val="Arial"/>
      <family val="2"/>
    </font>
    <font>
      <sz val="10"/>
      <color indexed="49"/>
      <name val="Arial"/>
      <family val="2"/>
    </font>
    <font>
      <b/>
      <sz val="10"/>
      <color indexed="49"/>
      <name val="Arial"/>
      <family val="2"/>
    </font>
    <font>
      <b/>
      <sz val="14"/>
      <color indexed="8"/>
      <name val="Calibri"/>
      <family val="2"/>
    </font>
    <font>
      <b/>
      <sz val="20"/>
      <color indexed="8"/>
      <name val="Calibri"/>
      <family val="2"/>
    </font>
    <font>
      <b/>
      <sz val="11"/>
      <color indexed="8"/>
      <name val="Aharoni"/>
      <family val="0"/>
    </font>
    <font>
      <b/>
      <u val="single"/>
      <sz val="14"/>
      <color indexed="12"/>
      <name val="Calibri"/>
      <family val="2"/>
    </font>
    <font>
      <b/>
      <sz val="12"/>
      <color indexed="49"/>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2"/>
      <color theme="1"/>
      <name val="Calibri"/>
      <family val="2"/>
    </font>
    <font>
      <b/>
      <u val="single"/>
      <sz val="11"/>
      <color theme="1"/>
      <name val="Calibri"/>
      <family val="2"/>
    </font>
    <font>
      <sz val="10"/>
      <color theme="1"/>
      <name val="Arial"/>
      <family val="2"/>
    </font>
    <font>
      <b/>
      <sz val="10"/>
      <color theme="1"/>
      <name val="Arial"/>
      <family val="2"/>
    </font>
    <font>
      <b/>
      <sz val="10"/>
      <color rgb="FFFF6600"/>
      <name val="Arial"/>
      <family val="2"/>
    </font>
    <font>
      <b/>
      <sz val="10"/>
      <color rgb="FF0000FF"/>
      <name val="Arial"/>
      <family val="2"/>
    </font>
    <font>
      <i/>
      <sz val="11"/>
      <color theme="1"/>
      <name val="Calibri"/>
      <family val="2"/>
    </font>
    <font>
      <sz val="26"/>
      <color theme="1"/>
      <name val="Calibri"/>
      <family val="2"/>
    </font>
    <font>
      <b/>
      <sz val="18"/>
      <color theme="1"/>
      <name val="Calibri"/>
      <family val="2"/>
    </font>
    <font>
      <b/>
      <sz val="12"/>
      <color rgb="FF0000FF"/>
      <name val="Arial"/>
      <family val="2"/>
    </font>
    <font>
      <sz val="11"/>
      <color theme="4" tint="-0.24997000396251678"/>
      <name val="Calibri"/>
      <family val="2"/>
    </font>
    <font>
      <sz val="10"/>
      <color theme="8" tint="-0.24997000396251678"/>
      <name val="Arial"/>
      <family val="2"/>
    </font>
    <font>
      <b/>
      <sz val="10"/>
      <color theme="8" tint="-0.24997000396251678"/>
      <name val="Arial"/>
      <family val="2"/>
    </font>
    <font>
      <b/>
      <sz val="14"/>
      <color theme="1"/>
      <name val="Calibri"/>
      <family val="2"/>
    </font>
    <font>
      <b/>
      <sz val="11"/>
      <color theme="1"/>
      <name val="Aharoni"/>
      <family val="0"/>
    </font>
    <font>
      <b/>
      <sz val="20"/>
      <color theme="1"/>
      <name val="Calibri"/>
      <family val="2"/>
    </font>
    <font>
      <b/>
      <u val="single"/>
      <sz val="14"/>
      <color theme="10"/>
      <name val="Calibri"/>
      <family val="2"/>
    </font>
    <font>
      <b/>
      <sz val="12"/>
      <color theme="8" tint="-0.2499700039625167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thin"/>
      <bottom>
        <color indexed="63"/>
      </bottom>
    </border>
    <border>
      <left style="thin"/>
      <right style="thin"/>
      <top style="thin"/>
      <bottom style="medium"/>
    </border>
    <border>
      <left style="thick">
        <color rgb="FFC00000"/>
      </left>
      <right>
        <color indexed="63"/>
      </right>
      <top style="thick">
        <color rgb="FFC00000"/>
      </top>
      <bottom style="thick">
        <color rgb="FFC00000"/>
      </bottom>
    </border>
    <border>
      <left>
        <color indexed="63"/>
      </left>
      <right>
        <color indexed="63"/>
      </right>
      <top style="thick">
        <color rgb="FFC00000"/>
      </top>
      <bottom style="thick">
        <color rgb="FFC00000"/>
      </bottom>
    </border>
    <border>
      <left>
        <color indexed="63"/>
      </left>
      <right style="thick">
        <color rgb="FFC00000"/>
      </right>
      <top style="thick">
        <color rgb="FFC00000"/>
      </top>
      <bottom style="thick">
        <color rgb="FFC0000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color rgb="FF7F7F7F"/>
      </left>
      <right style="thin">
        <color rgb="FF7F7F7F"/>
      </right>
      <top>
        <color indexed="63"/>
      </top>
      <bottom style="thin">
        <color rgb="FF7F7F7F"/>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62">
    <xf numFmtId="0" fontId="0" fillId="0" borderId="0" xfId="0" applyFont="1" applyAlignment="1">
      <alignment/>
    </xf>
    <xf numFmtId="0" fontId="60" fillId="0" borderId="0" xfId="0" applyFont="1" applyAlignment="1">
      <alignment/>
    </xf>
    <xf numFmtId="0" fontId="61" fillId="0" borderId="0" xfId="0" applyFont="1" applyAlignment="1">
      <alignment horizontal="left" vertical="center" wrapText="1"/>
    </xf>
    <xf numFmtId="0" fontId="0" fillId="0" borderId="0" xfId="0" applyAlignment="1">
      <alignment horizontal="left" vertical="center" wrapText="1"/>
    </xf>
    <xf numFmtId="0" fontId="60"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52" fillId="0" borderId="10" xfId="53" applyBorder="1" applyAlignment="1" applyProtection="1">
      <alignment horizontal="center" vertical="center" wrapText="1"/>
      <protection/>
    </xf>
    <xf numFmtId="0" fontId="6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1" fillId="0" borderId="10" xfId="0" applyFont="1" applyBorder="1" applyAlignment="1">
      <alignment/>
    </xf>
    <xf numFmtId="0" fontId="0" fillId="0" borderId="0" xfId="0" applyBorder="1" applyAlignment="1">
      <alignment horizontal="center" vertical="center"/>
    </xf>
    <xf numFmtId="0" fontId="63" fillId="0" borderId="0" xfId="0" applyFont="1" applyBorder="1" applyAlignment="1">
      <alignment wrapText="1"/>
    </xf>
    <xf numFmtId="0" fontId="63" fillId="0" borderId="0" xfId="0" applyFont="1" applyBorder="1" applyAlignment="1">
      <alignment horizontal="center" wrapText="1"/>
    </xf>
    <xf numFmtId="0" fontId="63" fillId="0" borderId="0" xfId="0" applyFont="1" applyBorder="1" applyAlignment="1">
      <alignment horizontal="center" vertical="top" wrapText="1"/>
    </xf>
    <xf numFmtId="0" fontId="64" fillId="0" borderId="0" xfId="0" applyFont="1" applyFill="1" applyBorder="1" applyAlignment="1">
      <alignment horizontal="center" vertical="top" wrapText="1"/>
    </xf>
    <xf numFmtId="0" fontId="65" fillId="0" borderId="0" xfId="0" applyFont="1" applyFill="1" applyBorder="1" applyAlignment="1">
      <alignment horizontal="center" vertical="top" wrapText="1"/>
    </xf>
    <xf numFmtId="0" fontId="63" fillId="0" borderId="0" xfId="0" applyFont="1" applyFill="1" applyBorder="1" applyAlignment="1">
      <alignment horizontal="center" wrapText="1"/>
    </xf>
    <xf numFmtId="0" fontId="63" fillId="0" borderId="0" xfId="0" applyFont="1" applyFill="1" applyBorder="1" applyAlignment="1">
      <alignment horizontal="center" vertical="top" wrapText="1"/>
    </xf>
    <xf numFmtId="0" fontId="0" fillId="0" borderId="10" xfId="0" applyBorder="1" applyAlignment="1">
      <alignment/>
    </xf>
    <xf numFmtId="0" fontId="66" fillId="0" borderId="0" xfId="0" applyFont="1" applyFill="1" applyBorder="1" applyAlignment="1">
      <alignment wrapText="1"/>
    </xf>
    <xf numFmtId="0" fontId="52" fillId="0" borderId="0" xfId="53" applyBorder="1" applyAlignment="1" applyProtection="1">
      <alignment vertical="center" wrapText="1"/>
      <protection/>
    </xf>
    <xf numFmtId="0" fontId="67" fillId="0" borderId="0" xfId="0" applyFont="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0" xfId="0" applyBorder="1" applyAlignment="1">
      <alignment/>
    </xf>
    <xf numFmtId="0" fontId="0" fillId="0" borderId="10" xfId="0" applyBorder="1" applyAlignment="1">
      <alignment horizontal="left"/>
    </xf>
    <xf numFmtId="0" fontId="0" fillId="0" borderId="10" xfId="0" applyBorder="1" applyAlignment="1">
      <alignment horizontal="center"/>
    </xf>
    <xf numFmtId="0" fontId="1" fillId="0" borderId="11" xfId="0" applyFont="1" applyBorder="1" applyAlignment="1">
      <alignment/>
    </xf>
    <xf numFmtId="0" fontId="52" fillId="0" borderId="11" xfId="53" applyBorder="1" applyAlignment="1" applyProtection="1">
      <alignment horizontal="center" vertical="center" wrapText="1"/>
      <protection/>
    </xf>
    <xf numFmtId="0" fontId="61" fillId="4" borderId="12" xfId="0" applyFont="1" applyFill="1" applyBorder="1" applyAlignment="1">
      <alignment horizontal="left" vertical="center" wrapText="1"/>
    </xf>
    <xf numFmtId="0" fontId="61" fillId="4" borderId="12" xfId="0" applyFont="1" applyFill="1" applyBorder="1" applyAlignment="1">
      <alignment horizontal="center" vertical="center" wrapText="1"/>
    </xf>
    <xf numFmtId="0" fontId="68" fillId="0" borderId="11" xfId="0" applyFont="1" applyBorder="1" applyAlignment="1">
      <alignment horizontal="center" vertical="center" wrapText="1"/>
    </xf>
    <xf numFmtId="0" fontId="68" fillId="33" borderId="11" xfId="0" applyFont="1" applyFill="1" applyBorder="1" applyAlignment="1">
      <alignment horizontal="center" vertical="center" wrapText="1"/>
    </xf>
    <xf numFmtId="0" fontId="68" fillId="0" borderId="10" xfId="0" applyFont="1" applyBorder="1" applyAlignment="1">
      <alignment horizontal="center" vertical="center" wrapText="1"/>
    </xf>
    <xf numFmtId="0" fontId="68" fillId="33" borderId="10" xfId="0" applyFont="1" applyFill="1" applyBorder="1" applyAlignment="1">
      <alignment horizontal="center" vertical="center" wrapText="1"/>
    </xf>
    <xf numFmtId="0" fontId="0" fillId="0" borderId="0" xfId="0" applyFill="1" applyAlignment="1">
      <alignment/>
    </xf>
    <xf numFmtId="0" fontId="0" fillId="4" borderId="0" xfId="0" applyFill="1" applyAlignment="1">
      <alignment/>
    </xf>
    <xf numFmtId="14" fontId="0" fillId="4" borderId="0" xfId="0" applyNumberFormat="1" applyFill="1" applyAlignment="1">
      <alignment/>
    </xf>
    <xf numFmtId="0" fontId="0" fillId="0" borderId="0" xfId="0" applyAlignment="1">
      <alignment wrapText="1"/>
    </xf>
    <xf numFmtId="0" fontId="69" fillId="0" borderId="0" xfId="0" applyFont="1" applyFill="1" applyAlignment="1">
      <alignment/>
    </xf>
    <xf numFmtId="14" fontId="0" fillId="0" borderId="0" xfId="0" applyNumberFormat="1" applyFill="1" applyAlignment="1">
      <alignment/>
    </xf>
    <xf numFmtId="0" fontId="0" fillId="4" borderId="0" xfId="0" applyFill="1" applyAlignment="1">
      <alignment horizontal="center" vertical="center"/>
    </xf>
    <xf numFmtId="0" fontId="0" fillId="0" borderId="0" xfId="0" applyBorder="1" applyAlignment="1">
      <alignment horizontal="left" vertical="center"/>
    </xf>
    <xf numFmtId="0" fontId="69" fillId="4" borderId="0" xfId="0" applyFont="1" applyFill="1" applyAlignment="1">
      <alignment/>
    </xf>
    <xf numFmtId="0" fontId="62" fillId="0" borderId="13" xfId="0" applyFont="1" applyBorder="1" applyAlignment="1">
      <alignment/>
    </xf>
    <xf numFmtId="0" fontId="62" fillId="0" borderId="0" xfId="0" applyFont="1" applyBorder="1" applyAlignment="1">
      <alignment/>
    </xf>
    <xf numFmtId="0" fontId="0" fillId="0" borderId="0" xfId="0" applyBorder="1" applyAlignment="1">
      <alignment vertical="center" wrapText="1"/>
    </xf>
    <xf numFmtId="0" fontId="52" fillId="0" borderId="0" xfId="53" applyBorder="1" applyAlignment="1" applyProtection="1">
      <alignment vertical="center"/>
      <protection/>
    </xf>
    <xf numFmtId="0" fontId="0" fillId="0" borderId="0" xfId="0" applyAlignment="1">
      <alignment horizontal="left"/>
    </xf>
    <xf numFmtId="0" fontId="52" fillId="0" borderId="0" xfId="53" applyAlignment="1" applyProtection="1">
      <alignment horizontal="center" vertical="center" wrapText="1"/>
      <protection/>
    </xf>
    <xf numFmtId="0" fontId="0" fillId="0" borderId="10" xfId="0" applyFill="1" applyBorder="1" applyAlignment="1">
      <alignment/>
    </xf>
    <xf numFmtId="0" fontId="0" fillId="0" borderId="10" xfId="0" applyFill="1" applyBorder="1" applyAlignment="1">
      <alignment wrapText="1"/>
    </xf>
    <xf numFmtId="0" fontId="52" fillId="0" borderId="10" xfId="53" applyFill="1" applyBorder="1" applyAlignment="1" applyProtection="1">
      <alignment horizontal="center" vertical="center"/>
      <protection/>
    </xf>
    <xf numFmtId="0" fontId="0" fillId="0" borderId="14" xfId="0" applyFill="1" applyBorder="1" applyAlignment="1">
      <alignment horizontal="center" vertical="center"/>
    </xf>
    <xf numFmtId="0" fontId="62" fillId="0" borderId="0" xfId="0" applyFont="1" applyAlignment="1">
      <alignment/>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ill="1" applyBorder="1" applyAlignment="1">
      <alignment horizontal="left" wrapText="1"/>
    </xf>
    <xf numFmtId="0" fontId="52" fillId="0" borderId="0" xfId="53" applyAlignment="1" applyProtection="1">
      <alignment/>
      <protection/>
    </xf>
    <xf numFmtId="0" fontId="0" fillId="0" borderId="0" xfId="0" applyFill="1" applyAlignment="1">
      <alignment vertical="center"/>
    </xf>
    <xf numFmtId="0" fontId="52" fillId="0" borderId="10" xfId="53" applyFill="1" applyBorder="1" applyAlignment="1" applyProtection="1">
      <alignment/>
      <protection/>
    </xf>
    <xf numFmtId="0" fontId="52" fillId="0" borderId="10" xfId="53" applyFill="1" applyBorder="1" applyAlignment="1" applyProtection="1">
      <alignment horizontal="left" vertical="center"/>
      <protection/>
    </xf>
    <xf numFmtId="0" fontId="0" fillId="0" borderId="10" xfId="0" applyFill="1" applyBorder="1" applyAlignment="1">
      <alignment horizontal="left" vertical="center" wrapText="1"/>
    </xf>
    <xf numFmtId="0" fontId="68" fillId="0" borderId="10" xfId="0" applyFont="1" applyFill="1" applyBorder="1" applyAlignment="1">
      <alignment horizontal="center" vertical="center" wrapText="1"/>
    </xf>
    <xf numFmtId="0" fontId="0" fillId="0" borderId="10" xfId="0" applyFill="1" applyBorder="1" applyAlignment="1">
      <alignment vertical="center"/>
    </xf>
    <xf numFmtId="0" fontId="52" fillId="0" borderId="10" xfId="53" applyFill="1" applyBorder="1" applyAlignment="1" applyProtection="1">
      <alignment horizontal="left" vertical="center" wrapText="1"/>
      <protection/>
    </xf>
    <xf numFmtId="0" fontId="0" fillId="0" borderId="15" xfId="0" applyBorder="1" applyAlignment="1">
      <alignment/>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52" fillId="0" borderId="10" xfId="53" applyFill="1" applyBorder="1" applyAlignment="1" applyProtection="1">
      <alignment vertical="center"/>
      <protection/>
    </xf>
    <xf numFmtId="0" fontId="52" fillId="0" borderId="20" xfId="53" applyFill="1" applyBorder="1" applyAlignment="1" applyProtection="1">
      <alignment horizontal="left" vertical="center" wrapText="1"/>
      <protection/>
    </xf>
    <xf numFmtId="0" fontId="0" fillId="0" borderId="10" xfId="0" applyFill="1" applyBorder="1" applyAlignment="1">
      <alignment/>
    </xf>
    <xf numFmtId="0" fontId="0" fillId="0" borderId="10" xfId="0" applyFill="1" applyBorder="1" applyAlignment="1">
      <alignment horizontal="center"/>
    </xf>
    <xf numFmtId="0" fontId="52" fillId="0" borderId="10" xfId="53" applyFill="1" applyBorder="1" applyAlignment="1" applyProtection="1">
      <alignment horizontal="center"/>
      <protection/>
    </xf>
    <xf numFmtId="0" fontId="0" fillId="0" borderId="0" xfId="0" applyFill="1" applyBorder="1" applyAlignment="1">
      <alignment vertical="center" wrapText="1"/>
    </xf>
    <xf numFmtId="0" fontId="52" fillId="0" borderId="10" xfId="53" applyFill="1" applyBorder="1" applyAlignment="1" applyProtection="1">
      <alignment vertical="center" wrapText="1"/>
      <protection/>
    </xf>
    <xf numFmtId="0" fontId="0" fillId="0" borderId="10" xfId="0" applyFill="1" applyBorder="1" applyAlignment="1">
      <alignment vertical="center" wrapText="1"/>
    </xf>
    <xf numFmtId="0" fontId="0" fillId="0" borderId="0" xfId="0" applyFill="1" applyBorder="1" applyAlignment="1">
      <alignment wrapText="1"/>
    </xf>
    <xf numFmtId="0" fontId="0" fillId="0" borderId="0" xfId="0" applyFill="1" applyAlignment="1">
      <alignment horizontal="center" vertical="center"/>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5" fillId="0" borderId="0" xfId="0" applyFont="1" applyFill="1" applyBorder="1" applyAlignment="1">
      <alignment horizontal="center" vertical="center" wrapText="1"/>
    </xf>
    <xf numFmtId="0" fontId="64" fillId="0" borderId="0" xfId="0" applyFont="1" applyFill="1" applyBorder="1" applyAlignment="1">
      <alignment vertical="top" wrapText="1"/>
    </xf>
    <xf numFmtId="0" fontId="70" fillId="0" borderId="0" xfId="0" applyFont="1" applyFill="1" applyBorder="1" applyAlignment="1">
      <alignment horizontal="center" wrapText="1"/>
    </xf>
    <xf numFmtId="0" fontId="6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71" fillId="0" borderId="0" xfId="0" applyFont="1" applyAlignment="1">
      <alignment horizontal="center" vertical="center"/>
    </xf>
    <xf numFmtId="0" fontId="72" fillId="0" borderId="0" xfId="0" applyFont="1" applyAlignment="1">
      <alignment vertical="center"/>
    </xf>
    <xf numFmtId="0" fontId="6" fillId="0" borderId="0" xfId="0" applyFont="1" applyAlignment="1">
      <alignment/>
    </xf>
    <xf numFmtId="0" fontId="73" fillId="8" borderId="10" xfId="0" applyFont="1" applyFill="1" applyBorder="1" applyAlignment="1">
      <alignment horizontal="center" vertical="top" wrapText="1"/>
    </xf>
    <xf numFmtId="0" fontId="73" fillId="8" borderId="10" xfId="0" applyFont="1" applyFill="1" applyBorder="1" applyAlignment="1">
      <alignment vertical="top" wrapText="1"/>
    </xf>
    <xf numFmtId="0" fontId="72" fillId="0" borderId="10" xfId="0" applyFont="1" applyFill="1" applyBorder="1" applyAlignment="1">
      <alignment wrapText="1"/>
    </xf>
    <xf numFmtId="0" fontId="72" fillId="0" borderId="10" xfId="0" applyFont="1" applyFill="1" applyBorder="1" applyAlignment="1">
      <alignment horizontal="center" wrapText="1"/>
    </xf>
    <xf numFmtId="0" fontId="62" fillId="0" borderId="10" xfId="0" applyFont="1" applyFill="1" applyBorder="1" applyAlignment="1">
      <alignment horizontal="left" vertical="center"/>
    </xf>
    <xf numFmtId="0" fontId="0" fillId="0" borderId="21" xfId="0" applyBorder="1" applyAlignment="1">
      <alignment horizontal="center" vertical="center"/>
    </xf>
    <xf numFmtId="0" fontId="52" fillId="0" borderId="22" xfId="53" applyFill="1" applyBorder="1" applyAlignment="1" applyProtection="1">
      <alignment/>
      <protection/>
    </xf>
    <xf numFmtId="0" fontId="0" fillId="0" borderId="17" xfId="0" applyFill="1" applyBorder="1" applyAlignment="1">
      <alignment/>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10" xfId="0" applyFill="1" applyBorder="1" applyAlignment="1">
      <alignment vertical="center"/>
    </xf>
    <xf numFmtId="0" fontId="0" fillId="0" borderId="10" xfId="0" applyFill="1" applyBorder="1" applyAlignment="1">
      <alignment horizontal="center" vertical="center" wrapText="1"/>
    </xf>
    <xf numFmtId="0" fontId="52" fillId="0" borderId="19" xfId="53" applyFill="1" applyBorder="1" applyAlignment="1" applyProtection="1">
      <alignment/>
      <protection/>
    </xf>
    <xf numFmtId="0" fontId="52" fillId="0" borderId="10" xfId="53" applyFill="1" applyBorder="1" applyAlignment="1" applyProtection="1">
      <alignment horizontal="center" vertical="center" wrapText="1"/>
      <protection/>
    </xf>
    <xf numFmtId="0" fontId="0" fillId="0" borderId="10" xfId="0" applyFill="1" applyBorder="1" applyAlignment="1">
      <alignment vertical="center"/>
    </xf>
    <xf numFmtId="44" fontId="0" fillId="0" borderId="10" xfId="44" applyFont="1" applyBorder="1" applyAlignment="1">
      <alignment/>
    </xf>
    <xf numFmtId="14" fontId="0" fillId="0" borderId="0" xfId="0" applyNumberFormat="1" applyAlignment="1">
      <alignment/>
    </xf>
    <xf numFmtId="44" fontId="0" fillId="0" borderId="0" xfId="44" applyFont="1" applyFill="1" applyAlignment="1">
      <alignment vertical="center"/>
    </xf>
    <xf numFmtId="169" fontId="0" fillId="0" borderId="10" xfId="44" applyNumberFormat="1" applyFont="1" applyFill="1" applyBorder="1" applyAlignment="1">
      <alignment vertical="center"/>
    </xf>
    <xf numFmtId="169" fontId="0" fillId="0" borderId="10" xfId="44" applyNumberFormat="1" applyFont="1" applyBorder="1" applyAlignment="1">
      <alignment/>
    </xf>
    <xf numFmtId="0" fontId="0" fillId="0" borderId="0" xfId="0" applyFill="1" applyAlignment="1">
      <alignment horizontal="center" vertical="center" wrapText="1"/>
    </xf>
    <xf numFmtId="0" fontId="55" fillId="31" borderId="10" xfId="56" applyBorder="1" applyAlignment="1">
      <alignment horizontal="center" vertical="center" wrapText="1"/>
    </xf>
    <xf numFmtId="0" fontId="0" fillId="0" borderId="10" xfId="0" applyBorder="1" applyAlignment="1">
      <alignment horizontal="left"/>
    </xf>
    <xf numFmtId="44" fontId="0" fillId="0" borderId="10" xfId="44" applyNumberFormat="1" applyFont="1" applyBorder="1" applyAlignment="1">
      <alignment/>
    </xf>
    <xf numFmtId="44" fontId="0" fillId="0" borderId="10" xfId="44" applyNumberFormat="1" applyFont="1" applyFill="1" applyBorder="1" applyAlignment="1">
      <alignment vertical="center"/>
    </xf>
    <xf numFmtId="0" fontId="0" fillId="0" borderId="0" xfId="0" applyAlignment="1">
      <alignment horizontal="right"/>
    </xf>
    <xf numFmtId="0" fontId="74" fillId="0" borderId="0" xfId="0" applyFont="1" applyAlignment="1">
      <alignment horizontal="right"/>
    </xf>
    <xf numFmtId="169" fontId="58" fillId="0" borderId="0" xfId="0" applyNumberFormat="1" applyFont="1" applyAlignment="1">
      <alignment/>
    </xf>
    <xf numFmtId="0" fontId="6" fillId="0" borderId="10" xfId="53" applyFont="1" applyBorder="1" applyAlignment="1" applyProtection="1">
      <alignment horizontal="right" vertical="center"/>
      <protection/>
    </xf>
    <xf numFmtId="0" fontId="48" fillId="29" borderId="10" xfId="48" applyBorder="1" applyAlignment="1" applyProtection="1">
      <alignment vertical="center"/>
      <protection/>
    </xf>
    <xf numFmtId="49" fontId="6" fillId="0" borderId="10" xfId="53" applyNumberFormat="1" applyFont="1" applyBorder="1" applyAlignment="1" applyProtection="1">
      <alignment horizontal="left" vertical="center"/>
      <protection/>
    </xf>
    <xf numFmtId="174" fontId="0" fillId="0" borderId="10" xfId="0" applyNumberFormat="1" applyBorder="1" applyAlignment="1">
      <alignment/>
    </xf>
    <xf numFmtId="169" fontId="0" fillId="0" borderId="10" xfId="0" applyNumberFormat="1" applyBorder="1" applyAlignment="1">
      <alignment/>
    </xf>
    <xf numFmtId="0" fontId="64" fillId="0" borderId="10" xfId="0" applyFont="1" applyFill="1" applyBorder="1" applyAlignment="1">
      <alignment wrapText="1"/>
    </xf>
    <xf numFmtId="0" fontId="66" fillId="0" borderId="10" xfId="0" applyFont="1" applyFill="1" applyBorder="1" applyAlignment="1">
      <alignment wrapText="1"/>
    </xf>
    <xf numFmtId="0" fontId="63" fillId="0" borderId="10" xfId="0" applyFont="1" applyFill="1" applyBorder="1" applyAlignment="1">
      <alignment horizontal="center" wrapText="1"/>
    </xf>
    <xf numFmtId="49" fontId="0" fillId="0" borderId="10" xfId="0" applyNumberFormat="1" applyBorder="1" applyAlignment="1">
      <alignment horizontal="left"/>
    </xf>
    <xf numFmtId="0" fontId="42" fillId="0" borderId="0" xfId="0" applyFont="1" applyAlignment="1">
      <alignment/>
    </xf>
    <xf numFmtId="0" fontId="48" fillId="29" borderId="10" xfId="48" applyBorder="1" applyAlignment="1">
      <alignment vertical="center"/>
    </xf>
    <xf numFmtId="0" fontId="48" fillId="29" borderId="10" xfId="48" applyBorder="1" applyAlignment="1">
      <alignment/>
    </xf>
    <xf numFmtId="0" fontId="48" fillId="29" borderId="10" xfId="48" applyBorder="1" applyAlignment="1" applyProtection="1">
      <alignment vertical="center" wrapText="1"/>
      <protection/>
    </xf>
    <xf numFmtId="0" fontId="0" fillId="0" borderId="10" xfId="0" applyBorder="1" applyAlignment="1">
      <alignment vertical="center" wrapText="1"/>
    </xf>
    <xf numFmtId="0" fontId="0" fillId="0" borderId="10" xfId="0" applyBorder="1" applyAlignment="1">
      <alignment horizontal="right"/>
    </xf>
    <xf numFmtId="0" fontId="48" fillId="29" borderId="10" xfId="48" applyBorder="1" applyAlignment="1">
      <alignment horizontal="center" vertical="center" wrapText="1"/>
    </xf>
    <xf numFmtId="0" fontId="58" fillId="0" borderId="10" xfId="0" applyFont="1" applyBorder="1" applyAlignment="1">
      <alignment horizontal="right"/>
    </xf>
    <xf numFmtId="0" fontId="58" fillId="0" borderId="11" xfId="0" applyFont="1" applyBorder="1" applyAlignment="1">
      <alignment horizontal="right"/>
    </xf>
    <xf numFmtId="0" fontId="0" fillId="0" borderId="12" xfId="0" applyBorder="1" applyAlignment="1">
      <alignment/>
    </xf>
    <xf numFmtId="176" fontId="48" fillId="29" borderId="12" xfId="48" applyNumberFormat="1" applyBorder="1" applyAlignment="1">
      <alignment/>
    </xf>
    <xf numFmtId="2" fontId="48" fillId="29" borderId="10" xfId="48" applyNumberFormat="1" applyBorder="1" applyAlignment="1">
      <alignment horizontal="center" vertical="center" wrapText="1"/>
    </xf>
    <xf numFmtId="177" fontId="0" fillId="0" borderId="10" xfId="0" applyNumberFormat="1" applyBorder="1" applyAlignment="1">
      <alignment/>
    </xf>
    <xf numFmtId="169" fontId="48" fillId="29" borderId="10" xfId="44" applyNumberFormat="1" applyFont="1" applyFill="1" applyBorder="1" applyAlignment="1">
      <alignment/>
    </xf>
    <xf numFmtId="179" fontId="58" fillId="0" borderId="10" xfId="0" applyNumberFormat="1" applyFont="1" applyBorder="1" applyAlignment="1">
      <alignment/>
    </xf>
    <xf numFmtId="0" fontId="0" fillId="0" borderId="10" xfId="0" applyBorder="1" applyAlignment="1">
      <alignment horizontal="right" vertical="center"/>
    </xf>
    <xf numFmtId="0" fontId="42" fillId="0" borderId="0" xfId="0" applyFont="1" applyAlignment="1">
      <alignment vertical="center"/>
    </xf>
    <xf numFmtId="0" fontId="48" fillId="29" borderId="10" xfId="48" applyBorder="1" applyAlignment="1">
      <alignment horizontal="center" vertical="center"/>
    </xf>
    <xf numFmtId="0" fontId="0" fillId="0" borderId="17" xfId="0" applyBorder="1" applyAlignment="1">
      <alignment vertical="center"/>
    </xf>
    <xf numFmtId="0" fontId="0" fillId="0" borderId="19" xfId="0" applyBorder="1" applyAlignment="1">
      <alignment vertical="center"/>
    </xf>
    <xf numFmtId="0" fontId="0" fillId="0" borderId="0" xfId="0" applyAlignment="1">
      <alignment horizontal="left" vertical="center"/>
    </xf>
    <xf numFmtId="169" fontId="0" fillId="0" borderId="10" xfId="0" applyNumberFormat="1" applyFill="1" applyBorder="1" applyAlignment="1">
      <alignment/>
    </xf>
    <xf numFmtId="169" fontId="58" fillId="0" borderId="10" xfId="0" applyNumberFormat="1" applyFont="1" applyBorder="1" applyAlignment="1">
      <alignment vertical="center"/>
    </xf>
    <xf numFmtId="169" fontId="48" fillId="29" borderId="10" xfId="44" applyNumberFormat="1" applyFont="1" applyFill="1" applyBorder="1" applyAlignment="1">
      <alignment horizontal="center" vertical="center" wrapText="1"/>
    </xf>
    <xf numFmtId="169" fontId="0" fillId="0" borderId="10" xfId="44" applyNumberFormat="1" applyFont="1" applyBorder="1" applyAlignment="1">
      <alignment vertical="center"/>
    </xf>
    <xf numFmtId="169" fontId="0" fillId="0" borderId="10" xfId="44" applyNumberFormat="1" applyFont="1" applyBorder="1" applyAlignment="1">
      <alignment/>
    </xf>
    <xf numFmtId="44" fontId="58" fillId="0" borderId="10" xfId="44" applyNumberFormat="1" applyFont="1" applyBorder="1" applyAlignment="1">
      <alignment horizontal="center"/>
    </xf>
    <xf numFmtId="0" fontId="75" fillId="0" borderId="10" xfId="0" applyFont="1" applyBorder="1" applyAlignment="1">
      <alignment horizontal="center"/>
    </xf>
    <xf numFmtId="0" fontId="58" fillId="0" borderId="0" xfId="0" applyFont="1" applyAlignment="1">
      <alignment/>
    </xf>
    <xf numFmtId="0" fontId="0" fillId="0" borderId="0" xfId="0" applyAlignment="1">
      <alignment textRotation="90"/>
    </xf>
    <xf numFmtId="0" fontId="58" fillId="0" borderId="0" xfId="0" applyFont="1" applyAlignment="1">
      <alignment textRotation="90"/>
    </xf>
    <xf numFmtId="0" fontId="0" fillId="0" borderId="0" xfId="0" applyAlignment="1">
      <alignment horizontal="center" textRotation="90"/>
    </xf>
    <xf numFmtId="0" fontId="58" fillId="0" borderId="0" xfId="0" applyFont="1" applyFill="1" applyBorder="1" applyAlignment="1">
      <alignment horizontal="left" vertical="center"/>
    </xf>
    <xf numFmtId="0" fontId="0" fillId="0" borderId="0" xfId="0" applyFont="1" applyAlignment="1">
      <alignment horizontal="center"/>
    </xf>
    <xf numFmtId="0" fontId="58" fillId="0" borderId="0" xfId="0" applyFont="1" applyBorder="1" applyAlignment="1">
      <alignment horizontal="left"/>
    </xf>
    <xf numFmtId="0" fontId="0" fillId="9" borderId="23" xfId="0" applyFill="1" applyBorder="1" applyAlignment="1">
      <alignment horizontal="left" vertical="center" wrapText="1"/>
    </xf>
    <xf numFmtId="0" fontId="0" fillId="9" borderId="24" xfId="0" applyFill="1" applyBorder="1" applyAlignment="1">
      <alignment horizontal="left" vertical="center" wrapText="1"/>
    </xf>
    <xf numFmtId="0" fontId="0" fillId="9" borderId="25" xfId="0" applyFill="1" applyBorder="1" applyAlignment="1">
      <alignment horizontal="left" vertical="center" wrapText="1"/>
    </xf>
    <xf numFmtId="0" fontId="0" fillId="0" borderId="11" xfId="0" applyBorder="1" applyAlignment="1">
      <alignment horizontal="center"/>
    </xf>
    <xf numFmtId="0" fontId="0" fillId="0" borderId="10" xfId="0" applyBorder="1" applyAlignment="1">
      <alignment horizontal="center"/>
    </xf>
    <xf numFmtId="0" fontId="74" fillId="0" borderId="0" xfId="0" applyFont="1" applyAlignment="1">
      <alignment horizontal="left"/>
    </xf>
    <xf numFmtId="0" fontId="3" fillId="32" borderId="0" xfId="57" applyFont="1" applyBorder="1" applyAlignment="1">
      <alignment horizontal="left" vertical="center" wrapText="1"/>
    </xf>
    <xf numFmtId="0" fontId="67" fillId="32" borderId="0" xfId="57" applyFont="1" applyBorder="1" applyAlignment="1">
      <alignment horizontal="left" vertical="center" wrapText="1"/>
    </xf>
    <xf numFmtId="0" fontId="76" fillId="0" borderId="0" xfId="0" applyFont="1" applyAlignment="1">
      <alignment horizontal="center"/>
    </xf>
    <xf numFmtId="0" fontId="61" fillId="4" borderId="12" xfId="0" applyFont="1" applyFill="1" applyBorder="1" applyAlignment="1">
      <alignment horizontal="left"/>
    </xf>
    <xf numFmtId="0" fontId="61" fillId="4" borderId="12" xfId="0" applyFont="1" applyFill="1" applyBorder="1" applyAlignment="1">
      <alignment horizontal="left" vertical="center"/>
    </xf>
    <xf numFmtId="0" fontId="52" fillId="0" borderId="26" xfId="53" applyFill="1" applyBorder="1" applyAlignment="1" applyProtection="1">
      <alignment horizontal="center" vertical="center" wrapText="1"/>
      <protection/>
    </xf>
    <xf numFmtId="0" fontId="52" fillId="0" borderId="21" xfId="53" applyFill="1" applyBorder="1" applyAlignment="1" applyProtection="1">
      <alignment horizontal="center" vertical="center" wrapText="1"/>
      <protection/>
    </xf>
    <xf numFmtId="0" fontId="52" fillId="0" borderId="27" xfId="53" applyFill="1" applyBorder="1" applyAlignment="1" applyProtection="1">
      <alignment horizontal="center" vertical="center" wrapText="1"/>
      <protection/>
    </xf>
    <xf numFmtId="0" fontId="52" fillId="0" borderId="28" xfId="53" applyFill="1" applyBorder="1" applyAlignment="1" applyProtection="1">
      <alignment horizontal="center" vertical="center" wrapText="1"/>
      <protection/>
    </xf>
    <xf numFmtId="0" fontId="52" fillId="0" borderId="0" xfId="53" applyFill="1" applyBorder="1" applyAlignment="1" applyProtection="1">
      <alignment horizontal="center" vertical="center" wrapText="1"/>
      <protection/>
    </xf>
    <xf numFmtId="0" fontId="52" fillId="0" borderId="29" xfId="53" applyFill="1" applyBorder="1" applyAlignment="1" applyProtection="1">
      <alignment horizontal="center" vertical="center" wrapText="1"/>
      <protection/>
    </xf>
    <xf numFmtId="0" fontId="52" fillId="0" borderId="15" xfId="53" applyFill="1" applyBorder="1" applyAlignment="1" applyProtection="1">
      <alignment horizontal="center" vertical="center" wrapText="1"/>
      <protection/>
    </xf>
    <xf numFmtId="0" fontId="52" fillId="0" borderId="13" xfId="53" applyFill="1" applyBorder="1" applyAlignment="1" applyProtection="1">
      <alignment horizontal="center" vertical="center" wrapText="1"/>
      <protection/>
    </xf>
    <xf numFmtId="0" fontId="52" fillId="0" borderId="16" xfId="53" applyFill="1" applyBorder="1" applyAlignment="1" applyProtection="1">
      <alignment horizontal="center" vertical="center" wrapText="1"/>
      <protection/>
    </xf>
    <xf numFmtId="0" fontId="75" fillId="0" borderId="10" xfId="0" applyFont="1" applyBorder="1" applyAlignment="1">
      <alignment horizontal="center"/>
    </xf>
    <xf numFmtId="169" fontId="58" fillId="0" borderId="11" xfId="44" applyNumberFormat="1" applyFont="1"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69" fillId="4" borderId="0" xfId="0" applyFont="1" applyFill="1" applyAlignment="1">
      <alignment/>
    </xf>
    <xf numFmtId="0" fontId="62" fillId="0" borderId="13" xfId="0" applyFont="1" applyBorder="1" applyAlignment="1">
      <alignment horizontal="left"/>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62" fillId="0" borderId="0" xfId="0" applyFont="1" applyAlignment="1">
      <alignment horizontal="left" vertical="center"/>
    </xf>
    <xf numFmtId="0" fontId="0" fillId="0" borderId="10" xfId="0" applyFill="1" applyBorder="1" applyAlignment="1">
      <alignment horizontal="left" wrapText="1"/>
    </xf>
    <xf numFmtId="44" fontId="58" fillId="0" borderId="11" xfId="44" applyNumberFormat="1" applyFont="1" applyBorder="1" applyAlignment="1">
      <alignment horizontal="center"/>
    </xf>
    <xf numFmtId="14" fontId="0" fillId="0" borderId="0" xfId="0" applyNumberFormat="1" applyAlignment="1">
      <alignment horizontal="center"/>
    </xf>
    <xf numFmtId="0" fontId="0" fillId="0" borderId="17" xfId="0" applyFill="1"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77" fillId="0" borderId="0" xfId="53" applyFont="1" applyAlignment="1" applyProtection="1">
      <alignment horizontal="left"/>
      <protection/>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52" fillId="0" borderId="10" xfId="53" applyFill="1" applyBorder="1" applyAlignment="1" applyProtection="1">
      <alignment horizontal="center" vertical="center" wrapText="1"/>
      <protection/>
    </xf>
    <xf numFmtId="0" fontId="0" fillId="0" borderId="10" xfId="0" applyBorder="1" applyAlignment="1">
      <alignment horizontal="left"/>
    </xf>
    <xf numFmtId="169" fontId="0" fillId="0" borderId="10" xfId="44" applyNumberFormat="1" applyFont="1" applyBorder="1" applyAlignment="1">
      <alignment horizontal="center" vertical="center"/>
    </xf>
    <xf numFmtId="0" fontId="75" fillId="0" borderId="17" xfId="0" applyFont="1" applyBorder="1" applyAlignment="1">
      <alignment horizontal="center"/>
    </xf>
    <xf numFmtId="0" fontId="75" fillId="0" borderId="18" xfId="0" applyFont="1" applyBorder="1" applyAlignment="1">
      <alignment horizontal="center"/>
    </xf>
    <xf numFmtId="0" fontId="75" fillId="0" borderId="19" xfId="0" applyFont="1" applyBorder="1" applyAlignment="1">
      <alignment horizontal="center"/>
    </xf>
    <xf numFmtId="0" fontId="48" fillId="29" borderId="17" xfId="48" applyBorder="1" applyAlignment="1">
      <alignment horizontal="center" vertical="center" wrapText="1"/>
    </xf>
    <xf numFmtId="0" fontId="48" fillId="29" borderId="19" xfId="48" applyBorder="1" applyAlignment="1">
      <alignment horizontal="center" vertical="center" wrapText="1"/>
    </xf>
    <xf numFmtId="0" fontId="48" fillId="29" borderId="17" xfId="48" applyBorder="1" applyAlignment="1">
      <alignment horizontal="center" vertical="center"/>
    </xf>
    <xf numFmtId="0" fontId="48" fillId="29" borderId="19" xfId="48" applyBorder="1" applyAlignment="1">
      <alignment horizontal="center" vertical="center"/>
    </xf>
    <xf numFmtId="0" fontId="0" fillId="0" borderId="30" xfId="0" applyFill="1" applyBorder="1" applyAlignment="1">
      <alignment horizontal="left" vertical="center"/>
    </xf>
    <xf numFmtId="0" fontId="77" fillId="0" borderId="0" xfId="53" applyFont="1" applyFill="1" applyAlignment="1" applyProtection="1">
      <alignment horizontal="left"/>
      <protection/>
    </xf>
    <xf numFmtId="0" fontId="73" fillId="0" borderId="17" xfId="0" applyFont="1" applyFill="1" applyBorder="1" applyAlignment="1">
      <alignment horizontal="center" vertical="top" wrapText="1"/>
    </xf>
    <xf numFmtId="0" fontId="73" fillId="0" borderId="18" xfId="0" applyFont="1" applyFill="1" applyBorder="1" applyAlignment="1">
      <alignment horizontal="center" vertical="top" wrapText="1"/>
    </xf>
    <xf numFmtId="0" fontId="73" fillId="0" borderId="19" xfId="0" applyFont="1" applyFill="1" applyBorder="1" applyAlignment="1">
      <alignment horizontal="center" vertical="top" wrapText="1"/>
    </xf>
    <xf numFmtId="0" fontId="78" fillId="0" borderId="17" xfId="0" applyFont="1" applyFill="1" applyBorder="1" applyAlignment="1">
      <alignment horizontal="left" vertical="center" wrapText="1"/>
    </xf>
    <xf numFmtId="0" fontId="78" fillId="0" borderId="18" xfId="0" applyFont="1" applyFill="1" applyBorder="1" applyAlignment="1">
      <alignment horizontal="left" vertical="center" wrapText="1"/>
    </xf>
    <xf numFmtId="0" fontId="78" fillId="0" borderId="19" xfId="0" applyFont="1" applyFill="1" applyBorder="1" applyAlignment="1">
      <alignment horizontal="left" vertical="center" wrapText="1"/>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69" fillId="4" borderId="0" xfId="0" applyFont="1" applyFill="1" applyAlignment="1">
      <alignment horizontal="left"/>
    </xf>
    <xf numFmtId="0" fontId="0" fillId="0" borderId="18" xfId="0" applyBorder="1" applyAlignment="1">
      <alignment horizont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10" xfId="0" applyFill="1" applyBorder="1" applyAlignment="1">
      <alignment horizontal="left"/>
    </xf>
    <xf numFmtId="0" fontId="48" fillId="29" borderId="10" xfId="48" applyBorder="1" applyAlignment="1">
      <alignment horizontal="center" vertical="center" wrapText="1"/>
    </xf>
    <xf numFmtId="0" fontId="0" fillId="0" borderId="10" xfId="0" applyFill="1" applyBorder="1" applyAlignment="1">
      <alignment vertical="center"/>
    </xf>
    <xf numFmtId="0" fontId="0" fillId="0" borderId="17" xfId="0" applyFill="1" applyBorder="1" applyAlignment="1">
      <alignment horizontal="left" wrapText="1"/>
    </xf>
    <xf numFmtId="0" fontId="0" fillId="0" borderId="18" xfId="0" applyFill="1" applyBorder="1" applyAlignment="1">
      <alignment horizontal="left" wrapText="1"/>
    </xf>
    <xf numFmtId="0" fontId="0" fillId="0" borderId="19" xfId="0" applyFill="1" applyBorder="1" applyAlignment="1">
      <alignment horizontal="left" wrapTex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vertical="center" wrapText="1"/>
    </xf>
    <xf numFmtId="0" fontId="42" fillId="20" borderId="0" xfId="33" applyAlignment="1">
      <alignment horizontal="center" textRotation="90" wrapText="1"/>
    </xf>
    <xf numFmtId="0" fontId="53" fillId="30" borderId="1" xfId="54" applyAlignment="1">
      <alignment horizontal="center" vertical="center" textRotation="90" wrapText="1"/>
    </xf>
    <xf numFmtId="180" fontId="0" fillId="0" borderId="10" xfId="44" applyNumberFormat="1" applyFont="1" applyBorder="1" applyAlignment="1">
      <alignment/>
    </xf>
    <xf numFmtId="44" fontId="0" fillId="0" borderId="10" xfId="0" applyNumberFormat="1" applyBorder="1" applyAlignment="1">
      <alignment horizontal="center"/>
    </xf>
    <xf numFmtId="0" fontId="75" fillId="0" borderId="10" xfId="0" applyFont="1" applyBorder="1" applyAlignment="1">
      <alignment horizontal="center"/>
    </xf>
    <xf numFmtId="0" fontId="48" fillId="29" borderId="10" xfId="48" applyBorder="1" applyAlignment="1">
      <alignment horizontal="center"/>
    </xf>
    <xf numFmtId="0" fontId="53" fillId="30" borderId="31" xfId="54" applyBorder="1" applyAlignment="1">
      <alignment horizontal="center" vertical="center" textRotation="90" wrapText="1"/>
    </xf>
    <xf numFmtId="0" fontId="0" fillId="0" borderId="32" xfId="0" applyBorder="1" applyAlignment="1">
      <alignment/>
    </xf>
    <xf numFmtId="0" fontId="58" fillId="0" borderId="32" xfId="0" applyFont="1" applyBorder="1" applyAlignment="1">
      <alignment/>
    </xf>
    <xf numFmtId="0" fontId="0" fillId="0" borderId="32"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47625</xdr:colOff>
      <xdr:row>3</xdr:row>
      <xdr:rowOff>247650</xdr:rowOff>
    </xdr:from>
    <xdr:to>
      <xdr:col>17</xdr:col>
      <xdr:colOff>390525</xdr:colOff>
      <xdr:row>20</xdr:row>
      <xdr:rowOff>66675</xdr:rowOff>
    </xdr:to>
    <xdr:pic>
      <xdr:nvPicPr>
        <xdr:cNvPr id="1" name="Picture 1"/>
        <xdr:cNvPicPr preferRelativeResize="1">
          <a:picLocks noChangeAspect="1"/>
        </xdr:cNvPicPr>
      </xdr:nvPicPr>
      <xdr:blipFill>
        <a:blip r:embed="rId1"/>
        <a:stretch>
          <a:fillRect/>
        </a:stretch>
      </xdr:blipFill>
      <xdr:spPr>
        <a:xfrm>
          <a:off x="10201275" y="857250"/>
          <a:ext cx="6372225" cy="5229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114300</xdr:colOff>
      <xdr:row>3</xdr:row>
      <xdr:rowOff>66675</xdr:rowOff>
    </xdr:from>
    <xdr:to>
      <xdr:col>19</xdr:col>
      <xdr:colOff>476250</xdr:colOff>
      <xdr:row>17</xdr:row>
      <xdr:rowOff>209550</xdr:rowOff>
    </xdr:to>
    <xdr:pic>
      <xdr:nvPicPr>
        <xdr:cNvPr id="1" name="irc_mi" descr="https://www.ajmadison.com/guides/air_conditioner/ptac/images/ptac2large.jpg"/>
        <xdr:cNvPicPr preferRelativeResize="1">
          <a:picLocks noChangeAspect="1"/>
        </xdr:cNvPicPr>
      </xdr:nvPicPr>
      <xdr:blipFill>
        <a:blip r:embed="rId1"/>
        <a:stretch>
          <a:fillRect/>
        </a:stretch>
      </xdr:blipFill>
      <xdr:spPr>
        <a:xfrm>
          <a:off x="10582275" y="676275"/>
          <a:ext cx="5238750" cy="423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progress-energy.com/assets/www/docs/business/DEF-EEB-PTHP-PTAC.pdf" TargetMode="Externa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progress-energy.com/assets/www/docs/business/eit-ptac-steam-clean-sheet.pdf"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progress-energy.com/assets/www/docs/business/eit-duct-check-sheet.pdf" TargetMode="External" /><Relationship Id="rId2" Type="http://schemas.openxmlformats.org/officeDocument/2006/relationships/hyperlink" Target="\\nt000734\USERS\C41086\My%20Documents\Assessor%20Material\2016%20Rebate%20Measures\DUCT%20CHECK%20FORM%20.xlsm" TargetMode="External" /><Relationship Id="rId3" Type="http://schemas.openxmlformats.org/officeDocument/2006/relationships/hyperlink" Target="\\nt000734\USERS\C41086\My%20Documents\Assessor%20Material\2016%20Rebate%20Measures\Duct%20and%20Insulation%20DEF%20approved%20contractors.xlsx" TargetMode="Externa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nt000734\USERS\C41086\My%20Documents\Assessor%20Material\2016%20Rebate%20Measures\153869%20Final%20DE_Chiller%20Form_Fillable_FINAL.PDF" TargetMode="External" /><Relationship Id="rId2" Type="http://schemas.openxmlformats.org/officeDocument/2006/relationships/hyperlink" Target="https://www.progress-energy.com/assets/www/docs/business/DEF-EEB-chiller-tuneup.pdf"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progress-energy.com/assets/www/docs/business/DEF-EEB-HVAC-tuneup.pdf" TargetMode="External" /><Relationship Id="rId2" Type="http://schemas.openxmlformats.org/officeDocument/2006/relationships/hyperlink" Target="\\nt000734\USERS\C41086\My%20Documents\Assessor%20Material\2016%20Rebate%20Measures\153869%20Final%20DE%20HVAC%20Equipment%20Recommissioning%20Form_Fillable_FINAL.PDF"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nt000734\USERS\C41086\My%20Documents\Assessor%20Material\2016%20Rebate%20Measures\153869%20DE%20RTU%20Equipment%20Recommissioning%20Fillable%20Form.pdf" TargetMode="External" /><Relationship Id="rId2" Type="http://schemas.openxmlformats.org/officeDocument/2006/relationships/hyperlink" Target="https://www.progress-energy.com/assets/www/docs/business/eit-rooftop-hvac-sheet-fl.pdf" TargetMode="Externa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rogress-energy.com/florida/business/save-energy-money/energy-efficiency-for-business/innovation-incentive-custom.page?" TargetMode="External" /><Relationship Id="rId2" Type="http://schemas.openxmlformats.org/officeDocument/2006/relationships/hyperlink" Target="https://www.progress-energy.com/florida/business/save-energy-money/energy-efficiency-for-business/innovation-incentive-custom.page?" TargetMode="External" /><Relationship Id="rId3" Type="http://schemas.openxmlformats.org/officeDocument/2006/relationships/hyperlink" Target="https://www.progress-energy.com/florida/business/save-energy-money/energy-efficiency-for-business/innovation-incentive-custom.page?" TargetMode="External" /><Relationship Id="rId4" Type="http://schemas.openxmlformats.org/officeDocument/2006/relationships/hyperlink" Target="Institute%20of%20Food%20&amp;%20Agricultural%20Sciences%20(IFAS)%20Projects\Bldg%20970,%20Entomology-Nematology\CERTIFICATE%20OF%20OCCUPANCY.PDF" TargetMode="External" /><Relationship Id="rId5"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otels%20&amp;%20Lodging\The%20Putnam%20Lodge,%20Cross%20City\Ceiling%20Area.pdf" TargetMode="External" /><Relationship Id="rId2" Type="http://schemas.openxmlformats.org/officeDocument/2006/relationships/hyperlink" Target="..\..\Hotels%20&amp;%20Lodging\The%20Putnam%20Lodge,%20Cross%20City\Ceiling%20Insulation%20Specs.pdf" TargetMode="External" /><Relationship Id="rId3" Type="http://schemas.openxmlformats.org/officeDocument/2006/relationships/hyperlink" Target="Bldg%20498,%20McCarty%20D\HVAC%20Replacement\Certificate%20of%20Occupancy.pdf" TargetMode="External" /><Relationship Id="rId4" Type="http://schemas.openxmlformats.org/officeDocument/2006/relationships/hyperlink" Target="https://www.progress-energy.com/assets/www/docs/business/eeb-ceiling-insulation-sheet.pdf"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Bldg%20214,%20Harrell%20Medical%20Educ.%20Building\Cafco%20Roof%20Board%20Product%20Data.pdf" TargetMode="External" /><Relationship Id="rId2" Type="http://schemas.openxmlformats.org/officeDocument/2006/relationships/hyperlink" Target="Bldg%20214,%20Harrell%20Medical%20Educ.%20Building\Roof%20Area%20and%20R-Value.pdf" TargetMode="External" /><Relationship Id="rId3" Type="http://schemas.openxmlformats.org/officeDocument/2006/relationships/hyperlink" Target="Bldg%20214,%20Harrell%20Medical%20Educ.%20Building\Roof%20Insulation%20Product%20Data.pdf" TargetMode="External" /><Relationship Id="rId4" Type="http://schemas.openxmlformats.org/officeDocument/2006/relationships/hyperlink" Target="Bldg%20214,%20Harrell%20Medical%20Educ.%20Building\Roof%20Area%20and%20R-Value.pdf" TargetMode="External" /><Relationship Id="rId5" Type="http://schemas.openxmlformats.org/officeDocument/2006/relationships/hyperlink" Target="Institute%20of%20Food%20&amp;%20Agricultural%20Sciences%20(IFAS)%20Projects\Bldg%20970,%20Entomology-Nematology\CERTIFICATE%20OF%20OCCUPANCY.PDF" TargetMode="External" /><Relationship Id="rId6" Type="http://schemas.openxmlformats.org/officeDocument/2006/relationships/hyperlink" Target="https://www.progress-energy.com/assets/www/docs/business/eit-roof-insulation-upgrade-sheet.pdf" TargetMode="Externa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olroofs.org/" TargetMode="External" /><Relationship Id="rId2" Type="http://schemas.openxmlformats.org/officeDocument/2006/relationships/hyperlink" Target="Institute%20of%20Food%20&amp;%20Agricultural%20Sciences%20(IFAS)%20Projects\Bldg%20970,%20Entomology-Nematology\CERTIFICATE%20OF%20OCCUPANCY.PDF" TargetMode="External" /><Relationship Id="rId3" Type="http://schemas.openxmlformats.org/officeDocument/2006/relationships/hyperlink" Target="Institute%20of%20Food%20&amp;%20Agricultural%20Sciences%20(IFAS)%20Projects\Bldg%20970,%20Entomology-Nematology\Cool%20Roof%20Product%20Data%20Sheets.pdf" TargetMode="External" /><Relationship Id="rId4" Type="http://schemas.openxmlformats.org/officeDocument/2006/relationships/hyperlink" Target="Bldg%20214,%20Harrell%20Medical%20Educ.%20Building\Roof%20Area%20and%20R-Value.pdf" TargetMode="External" /><Relationship Id="rId5" Type="http://schemas.openxmlformats.org/officeDocument/2006/relationships/hyperlink" Target="https://www.progress-energy.com/assets/www/docs/business/cool-roof-sheet.pdf" TargetMode="Externa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progress-energy.com/assets/www/docs/business/eeb-demand-control-ventilation-sheet.pdf" TargetMode="External" /><Relationship Id="rId2" Type="http://schemas.openxmlformats.org/officeDocument/2006/relationships/hyperlink" Target="Bldg%20214,%20Harrell%20Medical%20Educ.%20Building\DCV%202%20-%20Product%20Data.pdf" TargetMode="External" /><Relationship Id="rId3" Type="http://schemas.openxmlformats.org/officeDocument/2006/relationships/hyperlink" Target="Bldg%20309,%20Harn%20Museum%20of%20Art\UF-273,%20Asian%20Art%20Wing\DCV%20Invoice.pdf" TargetMode="External" /><Relationship Id="rId4" Type="http://schemas.openxmlformats.org/officeDocument/2006/relationships/hyperlink" Target="Bldg%20214,%20Harrell%20Medical%20Educ.%20Building\Submittal%20Docs\DCV%20tons%20saved%20calculation.pdf" TargetMode="Externa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progress-energy.com/assets/www/docs/business/eit-high-efficiency-erv-sheet.pdf" TargetMode="External" /><Relationship Id="rId2" Type="http://schemas.openxmlformats.org/officeDocument/2006/relationships/hyperlink" Target="Bldg%20065,%20Heavener%20Hall\AHU-1%20ERV%20Spec%20Sheet.pdf"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progress-energy.com/assets/www/docs/business/DEF-EEB-HVAC-chiller.pdf" TargetMode="External" /><Relationship Id="rId2" Type="http://schemas.openxmlformats.org/officeDocument/2006/relationships/hyperlink" Target="Institute%20of%20Food%20&amp;%20Agricultural%20Sciences%20(IFAS)%20Projects\Bldg%20068,%20Research%20Laboratory\Submittal%20-%20UF%20IFAS%20Bldg%2068%20Chiller%209-10-2015[2].pdf" TargetMode="External" /><Relationship Id="rId3" Type="http://schemas.openxmlformats.org/officeDocument/2006/relationships/hyperlink" Target="Bldg%20498,%20McCarty%20D\HVAC%20Replacement\Certificate%20of%20Occupancy.pdf" TargetMode="Externa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progress-energy.com/assets/www/docs/business/DEF-EEB-small-heat-pump.pdf" TargetMode="External" /><Relationship Id="rId2" Type="http://schemas.openxmlformats.org/officeDocument/2006/relationships/hyperlink" Target="Bldg%20054,%20Gerson%20Hall\Room%20125%20Renovation\MXZ-2B20NA-1_Submittal.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progress-energy.com/assets/www/docs/business/DEF-EEB-unitary-ac-units.pdf" TargetMode="External" /><Relationship Id="rId2" Type="http://schemas.openxmlformats.org/officeDocument/2006/relationships/hyperlink" Target="Bldg%20589%20Graham%20Hall%20Office\Oasis%20Renovation\Variable%20Refrigerant%20Flow%20Multizone%20DX%20Units%20(PD).pdf" TargetMode="External" /><Relationship Id="rId3" Type="http://schemas.openxmlformats.org/officeDocument/2006/relationships/drawing" Target="../drawings/drawing1.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pageSetUpPr fitToPage="1"/>
  </sheetPr>
  <dimension ref="B1:J60"/>
  <sheetViews>
    <sheetView tabSelected="1" zoomScale="106" zoomScaleNormal="106" zoomScalePageLayoutView="0" workbookViewId="0" topLeftCell="A1">
      <selection activeCell="G20" sqref="G20"/>
    </sheetView>
  </sheetViews>
  <sheetFormatPr defaultColWidth="9.140625" defaultRowHeight="15"/>
  <cols>
    <col min="2" max="2" width="45.7109375" style="0" customWidth="1"/>
    <col min="3" max="4" width="13.7109375" style="0" customWidth="1"/>
    <col min="5" max="5" width="31.8515625" style="6" customWidth="1"/>
    <col min="6" max="6" width="12.7109375" style="6" customWidth="1"/>
    <col min="7" max="7" width="100.140625" style="0" customWidth="1"/>
  </cols>
  <sheetData>
    <row r="1" spans="2:3" ht="18.75">
      <c r="B1" s="179"/>
      <c r="C1" s="179"/>
    </row>
    <row r="2" spans="2:5" ht="15" customHeight="1">
      <c r="B2" s="180" t="s">
        <v>178</v>
      </c>
      <c r="C2" s="181"/>
      <c r="D2" s="181"/>
      <c r="E2" s="181"/>
    </row>
    <row r="3" spans="2:5" ht="15">
      <c r="B3" s="181"/>
      <c r="C3" s="181"/>
      <c r="D3" s="181"/>
      <c r="E3" s="181"/>
    </row>
    <row r="4" spans="2:5" ht="15">
      <c r="B4" s="181"/>
      <c r="C4" s="181"/>
      <c r="D4" s="181"/>
      <c r="E4" s="181"/>
    </row>
    <row r="5" spans="2:5" ht="15">
      <c r="B5" s="181"/>
      <c r="C5" s="181"/>
      <c r="D5" s="181"/>
      <c r="E5" s="181"/>
    </row>
    <row r="6" spans="2:5" ht="15">
      <c r="B6" s="181"/>
      <c r="C6" s="181"/>
      <c r="D6" s="181"/>
      <c r="E6" s="181"/>
    </row>
    <row r="8" spans="2:10" s="1" customFormat="1" ht="26.25">
      <c r="B8" s="182" t="s">
        <v>58</v>
      </c>
      <c r="C8" s="182"/>
      <c r="D8" s="182"/>
      <c r="E8" s="182"/>
      <c r="F8" s="4"/>
      <c r="H8" s="26"/>
      <c r="I8" s="26"/>
      <c r="J8" s="26"/>
    </row>
    <row r="9" spans="2:8" s="1" customFormat="1" ht="19.5" thickBot="1">
      <c r="B9" s="184" t="s">
        <v>40</v>
      </c>
      <c r="C9" s="184"/>
      <c r="D9" s="184"/>
      <c r="E9" s="184"/>
      <c r="F9" s="4"/>
      <c r="G9" s="26"/>
      <c r="H9" s="26"/>
    </row>
    <row r="10" spans="2:10" s="1" customFormat="1" ht="19.5" thickTop="1">
      <c r="B10" s="32" t="s">
        <v>27</v>
      </c>
      <c r="C10" s="177"/>
      <c r="D10" s="177"/>
      <c r="E10" s="177"/>
      <c r="F10" s="4"/>
      <c r="H10" s="26"/>
      <c r="I10" s="26"/>
      <c r="J10" s="26"/>
    </row>
    <row r="11" spans="2:5" ht="15">
      <c r="B11" s="14" t="s">
        <v>37</v>
      </c>
      <c r="C11" s="178"/>
      <c r="D11" s="178"/>
      <c r="E11" s="178"/>
    </row>
    <row r="12" spans="2:5" ht="15">
      <c r="B12" s="14" t="s">
        <v>59</v>
      </c>
      <c r="C12" s="178"/>
      <c r="D12" s="178"/>
      <c r="E12" s="30" t="s">
        <v>39</v>
      </c>
    </row>
    <row r="13" spans="2:5" ht="16.5" thickBot="1">
      <c r="B13" s="183" t="s">
        <v>38</v>
      </c>
      <c r="C13" s="183"/>
      <c r="D13" s="183"/>
      <c r="E13" s="183"/>
    </row>
    <row r="14" spans="2:5" ht="15.75" thickTop="1">
      <c r="B14" s="32" t="s">
        <v>30</v>
      </c>
      <c r="C14" s="177"/>
      <c r="D14" s="177"/>
      <c r="E14" s="177"/>
    </row>
    <row r="15" spans="2:6" s="2" customFormat="1" ht="32.25" thickBot="1">
      <c r="B15" s="34" t="s">
        <v>0</v>
      </c>
      <c r="C15" s="35" t="s">
        <v>1</v>
      </c>
      <c r="D15" s="35" t="s">
        <v>2</v>
      </c>
      <c r="E15" s="35" t="s">
        <v>9</v>
      </c>
      <c r="F15" s="35" t="s">
        <v>189</v>
      </c>
    </row>
    <row r="16" spans="2:6" s="3" customFormat="1" ht="30" customHeight="1" thickTop="1">
      <c r="B16" s="63" t="s">
        <v>6</v>
      </c>
      <c r="C16" s="36"/>
      <c r="D16" s="37"/>
      <c r="E16" s="33" t="s">
        <v>6</v>
      </c>
      <c r="F16" s="122" t="s">
        <v>190</v>
      </c>
    </row>
    <row r="17" spans="2:6" s="3" customFormat="1" ht="30" customHeight="1">
      <c r="B17" s="61" t="s">
        <v>7</v>
      </c>
      <c r="C17" s="38"/>
      <c r="D17" s="38"/>
      <c r="E17" s="115" t="s">
        <v>7</v>
      </c>
      <c r="F17" s="113" t="s">
        <v>190</v>
      </c>
    </row>
    <row r="18" spans="2:6" s="3" customFormat="1" ht="30" customHeight="1">
      <c r="B18" s="64" t="s">
        <v>3</v>
      </c>
      <c r="C18" s="38"/>
      <c r="D18" s="71"/>
      <c r="E18" s="115" t="s">
        <v>3</v>
      </c>
      <c r="F18" s="113" t="s">
        <v>190</v>
      </c>
    </row>
    <row r="19" spans="2:6" s="3" customFormat="1" ht="30" customHeight="1">
      <c r="B19" s="64" t="s">
        <v>5</v>
      </c>
      <c r="C19" s="38"/>
      <c r="D19" s="71"/>
      <c r="E19" s="115" t="s">
        <v>5</v>
      </c>
      <c r="F19" s="113" t="s">
        <v>190</v>
      </c>
    </row>
    <row r="20" spans="2:6" s="3" customFormat="1" ht="30" customHeight="1">
      <c r="B20" s="61" t="s">
        <v>20</v>
      </c>
      <c r="C20" s="38"/>
      <c r="D20" s="38"/>
      <c r="E20" s="115" t="s">
        <v>80</v>
      </c>
      <c r="F20" s="113" t="s">
        <v>190</v>
      </c>
    </row>
    <row r="21" spans="2:6" s="3" customFormat="1" ht="30" customHeight="1">
      <c r="B21" s="61" t="s">
        <v>61</v>
      </c>
      <c r="C21" s="38"/>
      <c r="D21" s="38"/>
      <c r="E21" s="115" t="s">
        <v>61</v>
      </c>
      <c r="F21" s="113" t="s">
        <v>190</v>
      </c>
    </row>
    <row r="22" spans="2:6" s="3" customFormat="1" ht="30" customHeight="1">
      <c r="B22" s="61" t="s">
        <v>60</v>
      </c>
      <c r="C22" s="38"/>
      <c r="D22" s="38"/>
      <c r="E22" s="115" t="s">
        <v>79</v>
      </c>
      <c r="F22" s="113" t="s">
        <v>190</v>
      </c>
    </row>
    <row r="23" spans="2:6" s="3" customFormat="1" ht="30" customHeight="1">
      <c r="B23" s="61" t="s">
        <v>243</v>
      </c>
      <c r="C23" s="38"/>
      <c r="D23" s="38"/>
      <c r="E23" s="115" t="s">
        <v>81</v>
      </c>
      <c r="F23" s="113" t="s">
        <v>190</v>
      </c>
    </row>
    <row r="24" spans="2:6" s="3" customFormat="1" ht="30" customHeight="1">
      <c r="B24" s="61" t="s">
        <v>62</v>
      </c>
      <c r="C24" s="38"/>
      <c r="D24" s="39"/>
      <c r="E24" s="115" t="s">
        <v>82</v>
      </c>
      <c r="F24" s="113" t="s">
        <v>190</v>
      </c>
    </row>
    <row r="25" spans="2:6" s="3" customFormat="1" ht="30" customHeight="1">
      <c r="B25" s="61" t="s">
        <v>65</v>
      </c>
      <c r="C25" s="38"/>
      <c r="D25" s="39"/>
      <c r="E25" s="115" t="s">
        <v>83</v>
      </c>
      <c r="F25" s="123" t="s">
        <v>262</v>
      </c>
    </row>
    <row r="26" spans="2:6" s="3" customFormat="1" ht="30" customHeight="1">
      <c r="B26" s="61" t="s">
        <v>188</v>
      </c>
      <c r="C26" s="38"/>
      <c r="D26" s="39"/>
      <c r="E26" s="115" t="s">
        <v>188</v>
      </c>
      <c r="F26" s="123" t="s">
        <v>262</v>
      </c>
    </row>
    <row r="27" spans="2:6" s="3" customFormat="1" ht="30" customHeight="1">
      <c r="B27" s="61" t="s">
        <v>63</v>
      </c>
      <c r="C27" s="38"/>
      <c r="D27" s="39"/>
      <c r="E27" s="115" t="s">
        <v>63</v>
      </c>
      <c r="F27" s="123" t="s">
        <v>262</v>
      </c>
    </row>
    <row r="28" spans="2:6" s="3" customFormat="1" ht="30" customHeight="1">
      <c r="B28" s="64" t="s">
        <v>64</v>
      </c>
      <c r="C28" s="38"/>
      <c r="D28" s="39"/>
      <c r="E28" s="115" t="s">
        <v>64</v>
      </c>
      <c r="F28" s="123" t="s">
        <v>262</v>
      </c>
    </row>
    <row r="29" spans="2:6" s="3" customFormat="1" ht="30" customHeight="1">
      <c r="B29" s="61" t="s">
        <v>8</v>
      </c>
      <c r="C29" s="38"/>
      <c r="D29" s="39"/>
      <c r="E29" s="115" t="s">
        <v>8</v>
      </c>
      <c r="F29" s="123" t="s">
        <v>262</v>
      </c>
    </row>
    <row r="30" spans="2:6" s="3" customFormat="1" ht="30" customHeight="1">
      <c r="B30" s="62" t="s">
        <v>66</v>
      </c>
      <c r="C30" s="38"/>
      <c r="D30" s="38"/>
      <c r="E30" s="115" t="s">
        <v>84</v>
      </c>
      <c r="F30" s="113" t="s">
        <v>190</v>
      </c>
    </row>
    <row r="31" spans="5:6" s="3" customFormat="1" ht="15.75" thickBot="1">
      <c r="E31" s="5"/>
      <c r="F31" s="5"/>
    </row>
    <row r="32" spans="2:6" s="3" customFormat="1" ht="63.75" customHeight="1" thickBot="1" thickTop="1">
      <c r="B32" s="174" t="s">
        <v>36</v>
      </c>
      <c r="C32" s="175"/>
      <c r="D32" s="175"/>
      <c r="E32" s="176"/>
      <c r="F32" s="5"/>
    </row>
    <row r="33" spans="5:6" s="3" customFormat="1" ht="15.75" thickTop="1">
      <c r="E33" s="5"/>
      <c r="F33" s="5"/>
    </row>
    <row r="34" spans="5:6" s="3" customFormat="1" ht="15">
      <c r="E34" s="5"/>
      <c r="F34" s="5"/>
    </row>
    <row r="35" spans="5:6" s="3" customFormat="1" ht="15">
      <c r="E35" s="5"/>
      <c r="F35" s="5"/>
    </row>
    <row r="36" spans="5:6" s="3" customFormat="1" ht="15">
      <c r="E36" s="5"/>
      <c r="F36" s="5"/>
    </row>
    <row r="37" spans="5:6" s="3" customFormat="1" ht="15">
      <c r="E37" s="5"/>
      <c r="F37" s="5"/>
    </row>
    <row r="38" spans="5:6" s="3" customFormat="1" ht="15">
      <c r="E38" s="5"/>
      <c r="F38" s="5"/>
    </row>
    <row r="39" spans="5:6" s="3" customFormat="1" ht="15">
      <c r="E39" s="5"/>
      <c r="F39" s="5"/>
    </row>
    <row r="40" spans="5:6" s="3" customFormat="1" ht="15">
      <c r="E40" s="5"/>
      <c r="F40" s="5"/>
    </row>
    <row r="41" spans="5:6" s="3" customFormat="1" ht="15">
      <c r="E41" s="5"/>
      <c r="F41" s="5"/>
    </row>
    <row r="42" spans="5:6" s="3" customFormat="1" ht="15">
      <c r="E42" s="5"/>
      <c r="F42" s="5"/>
    </row>
    <row r="43" spans="5:6" s="3" customFormat="1" ht="15">
      <c r="E43" s="5"/>
      <c r="F43" s="5"/>
    </row>
    <row r="44" spans="5:6" s="3" customFormat="1" ht="15">
      <c r="E44" s="5"/>
      <c r="F44" s="5"/>
    </row>
    <row r="45" spans="5:6" s="3" customFormat="1" ht="15">
      <c r="E45" s="5"/>
      <c r="F45" s="5"/>
    </row>
    <row r="46" spans="5:6" s="3" customFormat="1" ht="15">
      <c r="E46" s="5"/>
      <c r="F46" s="5"/>
    </row>
    <row r="47" spans="5:6" s="3" customFormat="1" ht="15">
      <c r="E47" s="5"/>
      <c r="F47" s="5"/>
    </row>
    <row r="48" spans="5:6" s="3" customFormat="1" ht="15">
      <c r="E48" s="5"/>
      <c r="F48" s="5"/>
    </row>
    <row r="49" spans="5:6" s="3" customFormat="1" ht="15">
      <c r="E49" s="5"/>
      <c r="F49" s="5"/>
    </row>
    <row r="50" spans="5:6" s="3" customFormat="1" ht="15">
      <c r="E50" s="5"/>
      <c r="F50" s="5"/>
    </row>
    <row r="51" spans="5:6" s="3" customFormat="1" ht="15">
      <c r="E51" s="5"/>
      <c r="F51" s="5"/>
    </row>
    <row r="52" spans="5:6" s="3" customFormat="1" ht="15">
      <c r="E52" s="5"/>
      <c r="F52" s="5"/>
    </row>
    <row r="53" spans="5:6" s="3" customFormat="1" ht="15">
      <c r="E53" s="5"/>
      <c r="F53" s="5"/>
    </row>
    <row r="54" spans="5:6" s="3" customFormat="1" ht="15">
      <c r="E54" s="5"/>
      <c r="F54" s="5"/>
    </row>
    <row r="55" spans="5:6" s="3" customFormat="1" ht="15">
      <c r="E55" s="5"/>
      <c r="F55" s="5"/>
    </row>
    <row r="56" spans="5:6" s="3" customFormat="1" ht="15">
      <c r="E56" s="5"/>
      <c r="F56" s="5"/>
    </row>
    <row r="57" spans="5:6" s="3" customFormat="1" ht="15">
      <c r="E57" s="5"/>
      <c r="F57" s="5"/>
    </row>
    <row r="58" spans="5:6" s="3" customFormat="1" ht="15">
      <c r="E58" s="5"/>
      <c r="F58" s="5"/>
    </row>
    <row r="59" spans="5:6" s="3" customFormat="1" ht="15">
      <c r="E59" s="5"/>
      <c r="F59" s="5"/>
    </row>
    <row r="60" spans="5:6" s="3" customFormat="1" ht="15">
      <c r="E60" s="5"/>
      <c r="F60" s="5"/>
    </row>
  </sheetData>
  <sheetProtection/>
  <mergeCells count="10">
    <mergeCell ref="B32:E32"/>
    <mergeCell ref="C10:E10"/>
    <mergeCell ref="C11:E11"/>
    <mergeCell ref="C14:E14"/>
    <mergeCell ref="B1:C1"/>
    <mergeCell ref="B2:E6"/>
    <mergeCell ref="B8:E8"/>
    <mergeCell ref="B13:E13"/>
    <mergeCell ref="B9:E9"/>
    <mergeCell ref="C12:D12"/>
  </mergeCells>
  <hyperlinks>
    <hyperlink ref="E16" location="Ceiling!A1" display="Ceiling Insulation Upgrade"/>
    <hyperlink ref="E18" location="'Cool Roof'!A1" display="Cool Roof"/>
    <hyperlink ref="E19" location="DCV!Print_Area" display="Demand Control Ventilation"/>
    <hyperlink ref="E26" location="Duct!Print_Area" display="Duct Check and Repair Program"/>
    <hyperlink ref="E22" location="'Small HP'!Print_Area" display="Small Heat Pumps"/>
    <hyperlink ref="E20" location="ERV!Print_Area" display="Energy Recovery Ventilation"/>
    <hyperlink ref="E23" location="Unitary!Print_Area" display="Unitary AC Units and Heat Pumps"/>
    <hyperlink ref="E21" location="Chillers!Print_Area" display="High Efficiency Chillers"/>
    <hyperlink ref="E24" location="PTAC!Print_Area" display="PTHPs and PTACs"/>
    <hyperlink ref="E27" location="'Chlr Tune'!Print_Area" display="Chiller Tuneup"/>
    <hyperlink ref="E28" location="'HVAC Tune'!Print_Area" display="HVAC Tuneup"/>
    <hyperlink ref="E17" location="'Roof Ins'!Print_Area" display="Roof Insulation Upgrade"/>
    <hyperlink ref="E29" location="'Roof HVAC'!Print_Area" display="Rooftop HVAC Recommissioning"/>
    <hyperlink ref="E25" location="Coil!Print_Area" display="Coil Cleaning"/>
    <hyperlink ref="E30" location="'FL Custom'!Print_Area" display="Custom Incentives"/>
  </hyperlinks>
  <printOptions horizontalCentered="1" verticalCentered="1"/>
  <pageMargins left="0.7" right="0.7" top="0.75" bottom="0.75" header="0.3" footer="0.3"/>
  <pageSetup fitToHeight="1" fitToWidth="1" horizontalDpi="600" verticalDpi="600" orientation="portrait" scale="76" r:id="rId1"/>
  <headerFooter>
    <oddHeader>&amp;LProgress Energy Rebate Program&amp;RUniversity of Florida</oddHeader>
    <oddFooter>&amp;CGeneral Disclaimer: In the event of an omission of Customer Requirements or Required Documents, Progress Energy Better Business (Retrofit) &amp; New Construction Program documents supersede all items found in this Rebate Checklist</oddFooter>
  </headerFooter>
</worksheet>
</file>

<file path=xl/worksheets/sheet10.xml><?xml version="1.0" encoding="utf-8"?>
<worksheet xmlns="http://schemas.openxmlformats.org/spreadsheetml/2006/main" xmlns:r="http://schemas.openxmlformats.org/officeDocument/2006/relationships">
  <sheetPr>
    <tabColor theme="9"/>
    <pageSetUpPr fitToPage="1"/>
  </sheetPr>
  <dimension ref="A1:M20"/>
  <sheetViews>
    <sheetView zoomScalePageLayoutView="0" workbookViewId="0" topLeftCell="A1">
      <selection activeCell="G15" sqref="G15"/>
    </sheetView>
  </sheetViews>
  <sheetFormatPr defaultColWidth="9.140625" defaultRowHeight="15"/>
  <cols>
    <col min="1" max="1" width="3.421875" style="0" customWidth="1"/>
    <col min="2" max="2" width="75.7109375" style="0" customWidth="1"/>
    <col min="4" max="4" width="3.57421875" style="0" customWidth="1"/>
    <col min="9" max="10" width="9.7109375" style="0" bestFit="1" customWidth="1"/>
  </cols>
  <sheetData>
    <row r="1" spans="1:10" ht="18.75" customHeight="1">
      <c r="A1" s="234" t="s">
        <v>244</v>
      </c>
      <c r="B1" s="234"/>
      <c r="C1" s="234"/>
      <c r="D1" s="234"/>
      <c r="E1" s="234"/>
      <c r="F1" s="234"/>
      <c r="G1" s="234"/>
      <c r="H1" s="234"/>
      <c r="I1" s="41" t="s">
        <v>42</v>
      </c>
      <c r="J1" s="42">
        <f>Chillers!I1</f>
        <v>42670</v>
      </c>
    </row>
    <row r="2" spans="1:4" ht="14.25" customHeight="1">
      <c r="A2" s="209"/>
      <c r="B2" s="209"/>
      <c r="D2" s="7"/>
    </row>
    <row r="3" spans="1:10" ht="15">
      <c r="A3" s="199" t="s">
        <v>44</v>
      </c>
      <c r="B3" s="199"/>
      <c r="D3" s="7"/>
      <c r="E3" s="202" t="s">
        <v>46</v>
      </c>
      <c r="F3" s="202"/>
      <c r="G3" s="202"/>
      <c r="H3" s="202"/>
      <c r="I3" s="202"/>
      <c r="J3" s="202"/>
    </row>
    <row r="4" spans="1:10" ht="45">
      <c r="A4" s="12">
        <v>1</v>
      </c>
      <c r="B4" s="62" t="s">
        <v>143</v>
      </c>
      <c r="D4" s="83">
        <v>1</v>
      </c>
      <c r="E4" s="55"/>
      <c r="F4" s="200" t="s">
        <v>145</v>
      </c>
      <c r="G4" s="200"/>
      <c r="H4" s="200"/>
      <c r="I4" s="200"/>
      <c r="J4" s="55"/>
    </row>
    <row r="5" spans="1:10" ht="46.5" customHeight="1">
      <c r="A5" s="12">
        <v>2</v>
      </c>
      <c r="B5" s="62" t="s">
        <v>144</v>
      </c>
      <c r="D5" s="83">
        <v>2</v>
      </c>
      <c r="E5" s="55"/>
      <c r="F5" s="201" t="s">
        <v>146</v>
      </c>
      <c r="G5" s="201"/>
      <c r="H5" s="201"/>
      <c r="I5" s="201"/>
      <c r="J5" s="55"/>
    </row>
    <row r="6" spans="1:10" ht="15">
      <c r="A6" s="12">
        <v>3</v>
      </c>
      <c r="B6" s="62"/>
      <c r="C6" s="40"/>
      <c r="D6" s="213" t="s">
        <v>82</v>
      </c>
      <c r="E6" s="213"/>
      <c r="F6" s="213"/>
      <c r="G6" s="213"/>
      <c r="H6" s="213"/>
      <c r="I6" s="213"/>
      <c r="J6" s="213"/>
    </row>
    <row r="7" spans="1:10" ht="15">
      <c r="A7" s="27">
        <v>4</v>
      </c>
      <c r="B7" s="56"/>
      <c r="C7" s="40"/>
      <c r="D7" s="213"/>
      <c r="E7" s="213"/>
      <c r="F7" s="213"/>
      <c r="G7" s="213"/>
      <c r="H7" s="213"/>
      <c r="I7" s="213"/>
      <c r="J7" s="213"/>
    </row>
    <row r="8" spans="2:10" ht="15">
      <c r="B8" s="40"/>
      <c r="C8" s="40"/>
      <c r="D8" s="213"/>
      <c r="E8" s="213"/>
      <c r="F8" s="213"/>
      <c r="G8" s="213"/>
      <c r="H8" s="213"/>
      <c r="I8" s="213"/>
      <c r="J8" s="213"/>
    </row>
    <row r="9" spans="1:13" s="11" customFormat="1" ht="19.5" customHeight="1">
      <c r="A9"/>
      <c r="B9" s="86" t="s">
        <v>29</v>
      </c>
      <c r="M9"/>
    </row>
    <row r="10" spans="1:13" s="11" customFormat="1" ht="30" customHeight="1">
      <c r="A10"/>
      <c r="B10" s="40"/>
      <c r="E10" s="178" t="s">
        <v>184</v>
      </c>
      <c r="F10" s="178"/>
      <c r="G10" s="178"/>
      <c r="H10" s="178"/>
      <c r="I10" s="23" t="s">
        <v>183</v>
      </c>
      <c r="J10" s="23" t="s">
        <v>181</v>
      </c>
      <c r="M10"/>
    </row>
    <row r="11" spans="1:13" s="11" customFormat="1" ht="19.5" customHeight="1">
      <c r="A11"/>
      <c r="B11" s="194" t="s">
        <v>217</v>
      </c>
      <c r="C11" s="194"/>
      <c r="E11" s="200" t="s">
        <v>208</v>
      </c>
      <c r="F11" s="200"/>
      <c r="G11" s="200"/>
      <c r="H11" s="200"/>
      <c r="I11" s="120">
        <v>100</v>
      </c>
      <c r="J11" s="112" t="s">
        <v>206</v>
      </c>
      <c r="M11"/>
    </row>
    <row r="12" spans="1:13" s="11" customFormat="1" ht="19.5" customHeight="1">
      <c r="A12"/>
      <c r="B12" s="143" t="s">
        <v>245</v>
      </c>
      <c r="C12" s="145"/>
      <c r="E12" s="214" t="s">
        <v>209</v>
      </c>
      <c r="F12" s="214"/>
      <c r="G12" s="214"/>
      <c r="H12" s="214"/>
      <c r="I12" s="121">
        <v>100</v>
      </c>
      <c r="J12" s="23" t="s">
        <v>206</v>
      </c>
      <c r="M12"/>
    </row>
    <row r="13" spans="1:13" s="11" customFormat="1" ht="19.5" customHeight="1">
      <c r="A13"/>
      <c r="B13" s="23" t="s">
        <v>246</v>
      </c>
      <c r="C13" s="156"/>
      <c r="F13"/>
      <c r="G13"/>
      <c r="H13"/>
      <c r="I13"/>
      <c r="M13"/>
    </row>
    <row r="14" spans="1:13" s="11" customFormat="1" ht="19.5" customHeight="1">
      <c r="A14"/>
      <c r="B14" s="146" t="s">
        <v>240</v>
      </c>
      <c r="C14" s="161">
        <f>C12*C13*I12</f>
        <v>0</v>
      </c>
      <c r="F14"/>
      <c r="G14"/>
      <c r="H14"/>
      <c r="I14"/>
      <c r="M14"/>
    </row>
    <row r="15" spans="1:13" s="11" customFormat="1" ht="19.5" customHeight="1">
      <c r="A15"/>
      <c r="B15" s="40"/>
      <c r="D15"/>
      <c r="E15"/>
      <c r="F15"/>
      <c r="G15"/>
      <c r="H15"/>
      <c r="I15"/>
      <c r="J15"/>
      <c r="M15"/>
    </row>
    <row r="16" spans="1:13" s="11" customFormat="1" ht="19.5" customHeight="1">
      <c r="A16"/>
      <c r="B16"/>
      <c r="D16"/>
      <c r="E16"/>
      <c r="F16"/>
      <c r="G16"/>
      <c r="H16"/>
      <c r="I16"/>
      <c r="J16"/>
      <c r="M16"/>
    </row>
    <row r="17" spans="1:13" s="11" customFormat="1" ht="19.5" customHeight="1">
      <c r="A17"/>
      <c r="B17" s="100"/>
      <c r="D17"/>
      <c r="E17"/>
      <c r="F17"/>
      <c r="G17"/>
      <c r="H17"/>
      <c r="I17"/>
      <c r="J17"/>
      <c r="M17"/>
    </row>
    <row r="18" spans="1:13" s="11" customFormat="1" ht="19.5" customHeight="1">
      <c r="A18"/>
      <c r="B18"/>
      <c r="D18"/>
      <c r="E18"/>
      <c r="F18"/>
      <c r="G18"/>
      <c r="H18"/>
      <c r="I18"/>
      <c r="J18"/>
      <c r="M18"/>
    </row>
    <row r="19" spans="1:13" s="11" customFormat="1" ht="19.5" customHeight="1">
      <c r="A19"/>
      <c r="B19"/>
      <c r="D19"/>
      <c r="E19"/>
      <c r="F19"/>
      <c r="G19"/>
      <c r="H19"/>
      <c r="I19"/>
      <c r="J19"/>
      <c r="M19"/>
    </row>
    <row r="20" spans="1:13" s="11" customFormat="1" ht="19.5" customHeight="1">
      <c r="A20"/>
      <c r="B20"/>
      <c r="D20"/>
      <c r="E20"/>
      <c r="F20"/>
      <c r="G20"/>
      <c r="H20"/>
      <c r="I20"/>
      <c r="J20"/>
      <c r="M20"/>
    </row>
    <row r="23" ht="15" customHeight="1"/>
  </sheetData>
  <sheetProtection/>
  <mergeCells count="11">
    <mergeCell ref="F5:I5"/>
    <mergeCell ref="B11:C11"/>
    <mergeCell ref="A1:H1"/>
    <mergeCell ref="E11:H11"/>
    <mergeCell ref="E12:H12"/>
    <mergeCell ref="E10:H10"/>
    <mergeCell ref="D6:J8"/>
    <mergeCell ref="A2:B2"/>
    <mergeCell ref="A3:B3"/>
    <mergeCell ref="E3:J3"/>
    <mergeCell ref="F4:I4"/>
  </mergeCells>
  <hyperlinks>
    <hyperlink ref="B9" location="'Rebate Areas'!A1" display="Rebate Home"/>
    <hyperlink ref="D6:J8" r:id="rId1" display="PTHPs and PTACs"/>
  </hyperlinks>
  <printOptions/>
  <pageMargins left="0.7" right="0.7" top="0.75" bottom="0.75" header="0.3" footer="0.3"/>
  <pageSetup fitToHeight="1" fitToWidth="1" horizontalDpi="600" verticalDpi="600" orientation="landscape" scale="83" r:id="rId3"/>
  <headerFooter>
    <oddHeader>&amp;LProgress Energy Rebate Form&amp;RUniversity of Florida
</oddHeader>
  </headerFooter>
  <drawing r:id="rId2"/>
</worksheet>
</file>

<file path=xl/worksheets/sheet11.xml><?xml version="1.0" encoding="utf-8"?>
<worksheet xmlns="http://schemas.openxmlformats.org/spreadsheetml/2006/main" xmlns:r="http://schemas.openxmlformats.org/officeDocument/2006/relationships">
  <sheetPr>
    <tabColor theme="3"/>
    <pageSetUpPr fitToPage="1"/>
  </sheetPr>
  <dimension ref="A1:J39"/>
  <sheetViews>
    <sheetView zoomScalePageLayoutView="0" workbookViewId="0" topLeftCell="A7">
      <selection activeCell="I31" sqref="I31"/>
    </sheetView>
  </sheetViews>
  <sheetFormatPr defaultColWidth="9.140625" defaultRowHeight="15"/>
  <cols>
    <col min="1" max="1" width="3.421875" style="0" customWidth="1"/>
    <col min="2" max="2" width="75.7109375" style="0" customWidth="1"/>
    <col min="4" max="4" width="5.421875" style="0" customWidth="1"/>
    <col min="9" max="9" width="9.7109375" style="0" bestFit="1" customWidth="1"/>
  </cols>
  <sheetData>
    <row r="1" spans="1:10" ht="18.75" customHeight="1">
      <c r="A1" s="198" t="s">
        <v>83</v>
      </c>
      <c r="B1" s="198"/>
      <c r="C1" s="41"/>
      <c r="D1" s="46"/>
      <c r="E1" s="41"/>
      <c r="F1" s="41"/>
      <c r="G1" s="41"/>
      <c r="H1" s="41" t="s">
        <v>42</v>
      </c>
      <c r="I1" s="42">
        <f>'Roof HVAC'!I1</f>
        <v>42670</v>
      </c>
      <c r="J1" s="41"/>
    </row>
    <row r="2" spans="1:4" ht="14.25" customHeight="1">
      <c r="A2" s="209"/>
      <c r="B2" s="209"/>
      <c r="D2" s="7"/>
    </row>
    <row r="3" spans="1:10" ht="15">
      <c r="A3" s="199" t="s">
        <v>44</v>
      </c>
      <c r="B3" s="199"/>
      <c r="D3" s="7"/>
      <c r="E3" s="202" t="s">
        <v>46</v>
      </c>
      <c r="F3" s="202"/>
      <c r="G3" s="202"/>
      <c r="H3" s="202"/>
      <c r="I3" s="202"/>
      <c r="J3" s="202"/>
    </row>
    <row r="4" spans="1:10" ht="45" customHeight="1">
      <c r="A4" s="12">
        <v>1</v>
      </c>
      <c r="B4" s="70" t="s">
        <v>167</v>
      </c>
      <c r="C4" s="40"/>
      <c r="D4" s="28">
        <v>1</v>
      </c>
      <c r="E4" s="55"/>
      <c r="F4" s="201" t="s">
        <v>170</v>
      </c>
      <c r="G4" s="201"/>
      <c r="H4" s="201"/>
      <c r="I4" s="201"/>
      <c r="J4" s="55"/>
    </row>
    <row r="5" spans="1:10" ht="30">
      <c r="A5" s="12">
        <v>2</v>
      </c>
      <c r="B5" s="70" t="s">
        <v>180</v>
      </c>
      <c r="D5" s="28">
        <v>2</v>
      </c>
      <c r="E5" s="55"/>
      <c r="F5" s="200"/>
      <c r="G5" s="200"/>
      <c r="H5" s="200"/>
      <c r="I5" s="200"/>
      <c r="J5" s="55"/>
    </row>
    <row r="6" spans="1:10" ht="30" customHeight="1">
      <c r="A6" s="12">
        <v>3</v>
      </c>
      <c r="B6" s="56" t="s">
        <v>168</v>
      </c>
      <c r="D6" s="28">
        <v>3</v>
      </c>
      <c r="E6" s="55"/>
      <c r="F6" s="201"/>
      <c r="G6" s="201"/>
      <c r="H6" s="201"/>
      <c r="I6" s="201"/>
      <c r="J6" s="55"/>
    </row>
    <row r="7" spans="1:10" ht="15" customHeight="1">
      <c r="A7" s="12">
        <v>4</v>
      </c>
      <c r="B7" s="55" t="s">
        <v>169</v>
      </c>
      <c r="D7" s="28">
        <v>4</v>
      </c>
      <c r="E7" s="55"/>
      <c r="F7" s="200"/>
      <c r="G7" s="200"/>
      <c r="H7" s="200"/>
      <c r="I7" s="200"/>
      <c r="J7" s="72"/>
    </row>
    <row r="8" spans="1:10" ht="15" customHeight="1">
      <c r="A8" s="12">
        <v>5</v>
      </c>
      <c r="B8" s="40"/>
      <c r="D8" s="28">
        <v>5</v>
      </c>
      <c r="E8" s="55"/>
      <c r="F8" s="210"/>
      <c r="G8" s="211"/>
      <c r="H8" s="211"/>
      <c r="I8" s="212"/>
      <c r="J8" s="80"/>
    </row>
    <row r="9" spans="1:10" ht="15">
      <c r="A9" s="12">
        <v>6</v>
      </c>
      <c r="B9" s="86" t="s">
        <v>29</v>
      </c>
      <c r="D9" s="28">
        <v>6</v>
      </c>
      <c r="E9" s="55"/>
      <c r="F9" s="236"/>
      <c r="G9" s="237"/>
      <c r="H9" s="237"/>
      <c r="I9" s="238"/>
      <c r="J9" s="72"/>
    </row>
    <row r="10" spans="3:10" ht="15" customHeight="1">
      <c r="C10" s="40"/>
      <c r="D10" s="185" t="s">
        <v>83</v>
      </c>
      <c r="E10" s="186"/>
      <c r="F10" s="186"/>
      <c r="G10" s="186"/>
      <c r="H10" s="186"/>
      <c r="I10" s="186"/>
      <c r="J10" s="187"/>
    </row>
    <row r="11" spans="3:10" ht="15">
      <c r="C11" s="40"/>
      <c r="D11" s="188"/>
      <c r="E11" s="189"/>
      <c r="F11" s="189"/>
      <c r="G11" s="189"/>
      <c r="H11" s="189"/>
      <c r="I11" s="189"/>
      <c r="J11" s="190"/>
    </row>
    <row r="12" spans="3:10" ht="15" customHeight="1">
      <c r="C12" s="40"/>
      <c r="D12" s="191"/>
      <c r="E12" s="192"/>
      <c r="F12" s="192"/>
      <c r="G12" s="192"/>
      <c r="H12" s="192"/>
      <c r="I12" s="192"/>
      <c r="J12" s="193"/>
    </row>
    <row r="13" spans="4:10" ht="15">
      <c r="D13" s="54"/>
      <c r="E13" s="54"/>
      <c r="J13" s="54"/>
    </row>
    <row r="14" spans="2:10" ht="15">
      <c r="B14" s="194" t="s">
        <v>217</v>
      </c>
      <c r="C14" s="194"/>
      <c r="D14" s="23"/>
      <c r="F14" s="196" t="s">
        <v>184</v>
      </c>
      <c r="G14" s="235"/>
      <c r="H14" s="197"/>
      <c r="I14" s="23" t="s">
        <v>183</v>
      </c>
      <c r="J14" s="23" t="s">
        <v>181</v>
      </c>
    </row>
    <row r="15" spans="2:10" ht="15">
      <c r="B15" s="143" t="s">
        <v>297</v>
      </c>
      <c r="C15" s="257"/>
      <c r="D15" s="23" t="s">
        <v>298</v>
      </c>
      <c r="F15" s="236" t="s">
        <v>293</v>
      </c>
      <c r="G15" s="237"/>
      <c r="H15" s="238"/>
      <c r="I15" s="126">
        <v>20</v>
      </c>
      <c r="J15" s="116" t="s">
        <v>294</v>
      </c>
    </row>
    <row r="16" spans="2:10" ht="15">
      <c r="B16" s="256" t="s">
        <v>299</v>
      </c>
      <c r="C16" s="166"/>
      <c r="D16" s="23"/>
      <c r="F16" s="214" t="s">
        <v>291</v>
      </c>
      <c r="G16" s="214"/>
      <c r="H16" s="214"/>
      <c r="I16" s="126">
        <v>20</v>
      </c>
      <c r="J16" s="23" t="s">
        <v>292</v>
      </c>
    </row>
    <row r="17" spans="2:4" ht="15">
      <c r="B17" s="143" t="s">
        <v>296</v>
      </c>
      <c r="C17" s="145"/>
      <c r="D17" s="23"/>
    </row>
    <row r="18" spans="2:4" ht="15">
      <c r="B18" s="116" t="s">
        <v>295</v>
      </c>
      <c r="C18" s="23"/>
      <c r="D18" s="23"/>
    </row>
    <row r="19" spans="2:4" ht="15">
      <c r="B19" s="144">
        <f>IF($C$17&gt;=1,"AHU #1","")</f>
      </c>
      <c r="C19" s="141"/>
      <c r="D19" s="124">
        <f>IF($C$17&gt;=1,"tons","")</f>
      </c>
    </row>
    <row r="20" spans="2:4" ht="15">
      <c r="B20" s="144">
        <f>IF($C$17&gt;=2,"AHU #2","")</f>
      </c>
      <c r="C20" s="141"/>
      <c r="D20" s="124">
        <f>IF($C$17&gt;=2,"tons","")</f>
      </c>
    </row>
    <row r="21" spans="2:4" ht="15">
      <c r="B21" s="144">
        <f>IF($C$17&gt;=3,"AHU #3","")</f>
      </c>
      <c r="C21" s="141"/>
      <c r="D21" s="124">
        <f>IF($C$17&gt;=3,"tons","")</f>
      </c>
    </row>
    <row r="22" spans="2:4" ht="15">
      <c r="B22" s="144">
        <f>IF($C$17&gt;=4,"AHU #4","")</f>
      </c>
      <c r="C22" s="141"/>
      <c r="D22" s="124">
        <f>IF($C$17&gt;=4,"tons","")</f>
      </c>
    </row>
    <row r="23" spans="2:4" ht="15">
      <c r="B23" s="144">
        <f>IF($C$17&gt;=5,"AHU #5","")</f>
      </c>
      <c r="C23" s="141"/>
      <c r="D23" s="124">
        <f>IF($C$17&gt;=5,"tons","")</f>
      </c>
    </row>
    <row r="24" spans="2:4" ht="15">
      <c r="B24" s="144">
        <f>IF($C$17&gt;=6,"AHU #6","")</f>
      </c>
      <c r="C24" s="141"/>
      <c r="D24" s="124">
        <f>IF($C$17&gt;=6,"tons","")</f>
      </c>
    </row>
    <row r="25" spans="2:4" ht="15">
      <c r="B25" s="144">
        <f>IF($C$17&gt;=7,"AHU #7","")</f>
      </c>
      <c r="C25" s="141"/>
      <c r="D25" s="124">
        <f>IF($C$17&gt;=7,"tons","")</f>
      </c>
    </row>
    <row r="26" spans="2:4" ht="15">
      <c r="B26" s="144">
        <f>IF($C$17&gt;=8,"AHU #8","")</f>
      </c>
      <c r="C26" s="141"/>
      <c r="D26" s="124">
        <f>IF($C$17&gt;=8,"tons","")</f>
      </c>
    </row>
    <row r="27" spans="2:4" ht="15">
      <c r="B27" s="144">
        <f>IF($C$17&gt;=9,"AHU #9","")</f>
      </c>
      <c r="C27" s="141"/>
      <c r="D27" s="124">
        <f>IF($C$17&gt;=9,"tons","")</f>
      </c>
    </row>
    <row r="28" spans="2:4" ht="15">
      <c r="B28" s="144">
        <f>IF($C$17&gt;=10,"AHU #10","")</f>
      </c>
      <c r="C28" s="141"/>
      <c r="D28" s="124">
        <f>IF($C$17&gt;=10,"tons","")</f>
      </c>
    </row>
    <row r="29" spans="2:4" ht="15">
      <c r="B29" s="144">
        <f>IF($C$17&gt;=11,"AHU #11","")</f>
      </c>
      <c r="C29" s="141"/>
      <c r="D29" s="124">
        <f>IF($C$17&gt;=11,"tons","")</f>
      </c>
    </row>
    <row r="30" spans="2:4" ht="15">
      <c r="B30" s="144">
        <f>IF($C$17&gt;=12,"AHU #12","")</f>
      </c>
      <c r="C30" s="141"/>
      <c r="D30" s="124">
        <f>IF($C$17&gt;=12,"tons","")</f>
      </c>
    </row>
    <row r="31" spans="2:4" ht="15">
      <c r="B31" s="144">
        <f>IF($C$17&gt;=13,"AHU #13","")</f>
      </c>
      <c r="C31" s="141"/>
      <c r="D31" s="124">
        <f>IF($C$17&gt;=13,"tons","")</f>
      </c>
    </row>
    <row r="32" spans="2:4" ht="15">
      <c r="B32" s="144">
        <f>IF($C$17&gt;=14,"AHU #14","")</f>
      </c>
      <c r="C32" s="141"/>
      <c r="D32" s="124">
        <f>IF($C$17&gt;=14,"tons","")</f>
      </c>
    </row>
    <row r="33" spans="2:4" ht="15">
      <c r="B33" s="144">
        <f>IF($C$17&gt;=15,"AHU #15","")</f>
      </c>
      <c r="C33" s="141"/>
      <c r="D33" s="124">
        <f>IF($C$17&gt;=15,"tons","")</f>
      </c>
    </row>
    <row r="34" spans="2:4" ht="15">
      <c r="B34" s="144">
        <f>IF($C$17&gt;=16,"AHU #16","")</f>
      </c>
      <c r="C34" s="141"/>
      <c r="D34" s="124">
        <f>IF($C$17&gt;=16,"tons","")</f>
      </c>
    </row>
    <row r="35" spans="2:4" ht="15">
      <c r="B35" s="144">
        <f>IF($C$17&gt;=17,"AHU #17","")</f>
      </c>
      <c r="C35" s="141"/>
      <c r="D35" s="124">
        <f>IF($C$17&gt;=17,"tons","")</f>
      </c>
    </row>
    <row r="36" spans="2:4" ht="15">
      <c r="B36" s="144">
        <f>IF($C$17&gt;=18,"AHU #18","")</f>
      </c>
      <c r="C36" s="141"/>
      <c r="D36" s="124">
        <f>IF($C$17&gt;=18,"tons","")</f>
      </c>
    </row>
    <row r="37" spans="2:4" ht="15">
      <c r="B37" s="144">
        <f>IF($C$17&gt;=19,"AHU #19","")</f>
      </c>
      <c r="C37" s="141"/>
      <c r="D37" s="124">
        <f>IF($C$17&gt;=19,"tons","")</f>
      </c>
    </row>
    <row r="38" spans="2:4" ht="15">
      <c r="B38" s="144">
        <f>IF($C$17&gt;=20,"AHU #20","")</f>
      </c>
      <c r="C38" s="141"/>
      <c r="D38" s="124">
        <f>IF($C$17&gt;=20,"tons","")</f>
      </c>
    </row>
    <row r="39" spans="2:4" ht="15">
      <c r="B39" s="144" t="s">
        <v>222</v>
      </c>
      <c r="C39" s="164">
        <f>SUM(C19:C38)*I16+C15*I15</f>
        <v>0</v>
      </c>
      <c r="D39" s="144"/>
    </row>
  </sheetData>
  <sheetProtection/>
  <mergeCells count="15">
    <mergeCell ref="F16:H16"/>
    <mergeCell ref="A1:B1"/>
    <mergeCell ref="A2:B2"/>
    <mergeCell ref="A3:B3"/>
    <mergeCell ref="E3:J3"/>
    <mergeCell ref="F4:I4"/>
    <mergeCell ref="F5:I5"/>
    <mergeCell ref="F15:H15"/>
    <mergeCell ref="F6:I6"/>
    <mergeCell ref="F7:I7"/>
    <mergeCell ref="F8:I8"/>
    <mergeCell ref="F9:I9"/>
    <mergeCell ref="B14:C14"/>
    <mergeCell ref="F14:H14"/>
    <mergeCell ref="D10:J12"/>
  </mergeCells>
  <hyperlinks>
    <hyperlink ref="B9" location="'Rebate Areas'!A1" display="Rebate Home"/>
    <hyperlink ref="D10:J12" r:id="rId1" display="Coil Cleaning"/>
  </hyperlinks>
  <printOptions/>
  <pageMargins left="0.7" right="0.7" top="0.75" bottom="0.75" header="0.3" footer="0.3"/>
  <pageSetup fitToHeight="1" fitToWidth="1" horizontalDpi="600" verticalDpi="600" orientation="landscape" scale="83" r:id="rId2"/>
  <headerFooter>
    <oddHeader>&amp;LProgress Energy Rebate Form&amp;RUniversity of Florida</oddHeader>
  </headerFooter>
</worksheet>
</file>

<file path=xl/worksheets/sheet12.xml><?xml version="1.0" encoding="utf-8"?>
<worksheet xmlns="http://schemas.openxmlformats.org/spreadsheetml/2006/main" xmlns:r="http://schemas.openxmlformats.org/officeDocument/2006/relationships">
  <sheetPr>
    <tabColor theme="3"/>
    <pageSetUpPr fitToPage="1"/>
  </sheetPr>
  <dimension ref="A1:L20"/>
  <sheetViews>
    <sheetView zoomScale="115" zoomScaleNormal="115" zoomScalePageLayoutView="0" workbookViewId="0" topLeftCell="A1">
      <selection activeCell="I1" sqref="I1"/>
    </sheetView>
  </sheetViews>
  <sheetFormatPr defaultColWidth="9.140625" defaultRowHeight="15"/>
  <cols>
    <col min="1" max="1" width="3.421875" style="0" customWidth="1"/>
    <col min="2" max="2" width="56.28125" style="0" customWidth="1"/>
    <col min="3" max="3" width="11.140625" style="0" bestFit="1" customWidth="1"/>
    <col min="4" max="4" width="3.00390625" style="0" customWidth="1"/>
    <col min="6" max="6" width="12.28125" style="0" customWidth="1"/>
    <col min="9" max="9" width="10.7109375" style="0" bestFit="1" customWidth="1"/>
  </cols>
  <sheetData>
    <row r="1" spans="1:10" ht="18.75" customHeight="1">
      <c r="A1" s="198" t="s">
        <v>188</v>
      </c>
      <c r="B1" s="198"/>
      <c r="C1" s="41"/>
      <c r="D1" s="46"/>
      <c r="E1" s="41"/>
      <c r="F1" s="41"/>
      <c r="G1" s="41"/>
      <c r="H1" s="41" t="s">
        <v>42</v>
      </c>
      <c r="I1" s="42">
        <f>DCV!I1</f>
        <v>42670</v>
      </c>
      <c r="J1" s="41"/>
    </row>
    <row r="2" spans="1:4" ht="14.25" customHeight="1">
      <c r="A2" s="209"/>
      <c r="B2" s="209"/>
      <c r="D2" s="7"/>
    </row>
    <row r="3" spans="1:10" ht="15">
      <c r="A3" s="199" t="s">
        <v>44</v>
      </c>
      <c r="B3" s="199"/>
      <c r="D3" s="7"/>
      <c r="E3" s="202" t="s">
        <v>46</v>
      </c>
      <c r="F3" s="202"/>
      <c r="G3" s="202"/>
      <c r="H3" s="202"/>
      <c r="I3" s="202"/>
      <c r="J3" s="202"/>
    </row>
    <row r="4" spans="1:11" ht="30" customHeight="1">
      <c r="A4" s="12">
        <v>1</v>
      </c>
      <c r="B4" s="62" t="s">
        <v>12</v>
      </c>
      <c r="C4" s="40"/>
      <c r="D4" s="28">
        <v>1</v>
      </c>
      <c r="E4" s="55"/>
      <c r="F4" s="203" t="s">
        <v>89</v>
      </c>
      <c r="G4" s="203"/>
      <c r="H4" s="203"/>
      <c r="I4" s="203"/>
      <c r="J4" s="28"/>
      <c r="K4" s="40"/>
    </row>
    <row r="5" spans="1:10" ht="15" customHeight="1">
      <c r="A5" s="12">
        <v>2</v>
      </c>
      <c r="B5" s="62" t="s">
        <v>13</v>
      </c>
      <c r="C5" s="40"/>
      <c r="D5" s="28">
        <v>2</v>
      </c>
      <c r="E5" s="55"/>
      <c r="F5" s="201" t="s">
        <v>175</v>
      </c>
      <c r="G5" s="201"/>
      <c r="H5" s="201"/>
      <c r="I5" s="201"/>
      <c r="J5" s="57" t="s">
        <v>43</v>
      </c>
    </row>
    <row r="6" spans="1:10" ht="30.75" customHeight="1">
      <c r="A6" s="12">
        <v>3</v>
      </c>
      <c r="B6" s="56" t="s">
        <v>176</v>
      </c>
      <c r="C6" s="40"/>
      <c r="D6" s="28">
        <v>3</v>
      </c>
      <c r="E6" s="55"/>
      <c r="F6" s="201"/>
      <c r="G6" s="201"/>
      <c r="H6" s="201"/>
      <c r="I6" s="201"/>
      <c r="J6" s="57"/>
    </row>
    <row r="7" spans="1:10" ht="48" customHeight="1">
      <c r="A7" s="12">
        <v>4</v>
      </c>
      <c r="B7" s="62" t="s">
        <v>88</v>
      </c>
      <c r="C7" s="40"/>
      <c r="D7" s="28">
        <v>4</v>
      </c>
      <c r="E7" s="55"/>
      <c r="F7" s="200"/>
      <c r="G7" s="200"/>
      <c r="H7" s="200"/>
      <c r="I7" s="200"/>
      <c r="J7" s="57"/>
    </row>
    <row r="8" spans="1:10" ht="45">
      <c r="A8" s="12">
        <v>5</v>
      </c>
      <c r="B8" s="62" t="s">
        <v>51</v>
      </c>
      <c r="C8" s="40"/>
      <c r="D8" s="28">
        <v>5</v>
      </c>
      <c r="E8" s="55"/>
      <c r="F8" s="200"/>
      <c r="G8" s="200"/>
      <c r="H8" s="200"/>
      <c r="I8" s="200"/>
      <c r="J8" s="57"/>
    </row>
    <row r="9" spans="1:11" ht="30">
      <c r="A9" s="12">
        <v>6</v>
      </c>
      <c r="B9" s="62" t="s">
        <v>41</v>
      </c>
      <c r="D9" s="213" t="s">
        <v>4</v>
      </c>
      <c r="E9" s="213"/>
      <c r="F9" s="213"/>
      <c r="G9" s="213"/>
      <c r="H9" s="213"/>
      <c r="I9" s="213"/>
      <c r="J9" s="213"/>
      <c r="K9" s="40"/>
    </row>
    <row r="10" spans="1:11" ht="30" customHeight="1" thickBot="1">
      <c r="A10" s="12" t="s">
        <v>52</v>
      </c>
      <c r="B10" s="107" t="s">
        <v>177</v>
      </c>
      <c r="D10" s="213"/>
      <c r="E10" s="213"/>
      <c r="F10" s="213"/>
      <c r="G10" s="213"/>
      <c r="H10" s="213"/>
      <c r="I10" s="213"/>
      <c r="J10" s="213"/>
      <c r="K10" s="40"/>
    </row>
    <row r="11" spans="1:10" ht="36.75" customHeight="1" thickBot="1">
      <c r="A11" s="58"/>
      <c r="B11" s="81" t="s">
        <v>29</v>
      </c>
      <c r="D11" s="43"/>
      <c r="E11" s="43"/>
      <c r="F11" s="43"/>
      <c r="G11" s="43"/>
      <c r="H11" s="43"/>
      <c r="I11" s="43"/>
      <c r="J11" s="43"/>
    </row>
    <row r="12" spans="1:3" ht="15">
      <c r="A12" s="106"/>
      <c r="C12" s="40"/>
    </row>
    <row r="13" spans="1:10" ht="15">
      <c r="A13" s="15"/>
      <c r="B13" s="194" t="s">
        <v>217</v>
      </c>
      <c r="C13" s="194"/>
      <c r="E13" s="178" t="s">
        <v>184</v>
      </c>
      <c r="F13" s="178"/>
      <c r="G13" s="178"/>
      <c r="H13" s="178"/>
      <c r="I13" s="23" t="s">
        <v>183</v>
      </c>
      <c r="J13" s="23" t="s">
        <v>181</v>
      </c>
    </row>
    <row r="14" spans="2:10" ht="15" customHeight="1">
      <c r="B14" s="143" t="s">
        <v>228</v>
      </c>
      <c r="C14" s="145"/>
      <c r="E14" s="200" t="s">
        <v>192</v>
      </c>
      <c r="F14" s="200"/>
      <c r="G14" s="200"/>
      <c r="H14" s="200"/>
      <c r="I14" s="120">
        <v>30</v>
      </c>
      <c r="J14" s="112" t="s">
        <v>195</v>
      </c>
    </row>
    <row r="15" spans="2:12" ht="15">
      <c r="B15" s="144" t="s">
        <v>235</v>
      </c>
      <c r="C15" s="151">
        <f>IF(C14&gt;1,(C14-1)*20+30,IF(C14=1,30,0))</f>
        <v>0</v>
      </c>
      <c r="E15" s="214" t="s">
        <v>191</v>
      </c>
      <c r="F15" s="214"/>
      <c r="G15" s="214"/>
      <c r="H15" s="214"/>
      <c r="I15" s="121">
        <v>20</v>
      </c>
      <c r="J15" s="23" t="s">
        <v>195</v>
      </c>
      <c r="L15" t="s">
        <v>230</v>
      </c>
    </row>
    <row r="16" spans="2:12" ht="15">
      <c r="B16" s="23" t="s">
        <v>229</v>
      </c>
      <c r="C16" s="141"/>
      <c r="E16" s="214" t="s">
        <v>193</v>
      </c>
      <c r="F16" s="214"/>
      <c r="G16" s="214"/>
      <c r="H16" s="214"/>
      <c r="I16" s="23" t="s">
        <v>196</v>
      </c>
      <c r="J16" s="55" t="s">
        <v>195</v>
      </c>
      <c r="L16" t="s">
        <v>231</v>
      </c>
    </row>
    <row r="17" spans="2:12" ht="15">
      <c r="B17" s="23" t="s">
        <v>233</v>
      </c>
      <c r="C17" s="152"/>
      <c r="E17" s="214" t="s">
        <v>194</v>
      </c>
      <c r="F17" s="214"/>
      <c r="G17" s="214"/>
      <c r="H17" s="214"/>
      <c r="I17" s="23" t="s">
        <v>197</v>
      </c>
      <c r="J17" s="55" t="s">
        <v>195</v>
      </c>
      <c r="L17" t="s">
        <v>232</v>
      </c>
    </row>
    <row r="18" spans="2:8" ht="15">
      <c r="B18" s="144" t="s">
        <v>236</v>
      </c>
      <c r="C18" s="23">
        <f>IF(C16="Yes",C17*0.5,C17*0.25)</f>
        <v>0</v>
      </c>
      <c r="G18" s="205"/>
      <c r="H18" s="205"/>
    </row>
    <row r="19" spans="2:3" ht="15">
      <c r="B19" s="146" t="s">
        <v>234</v>
      </c>
      <c r="C19" s="153">
        <f>C18+C15</f>
        <v>0</v>
      </c>
    </row>
    <row r="20" spans="2:3" ht="15">
      <c r="B20" s="144">
        <f>IF(C16="maybe","****Requires further investigation","")</f>
      </c>
      <c r="C20" s="23"/>
    </row>
  </sheetData>
  <sheetProtection/>
  <mergeCells count="17">
    <mergeCell ref="F5:I5"/>
    <mergeCell ref="G18:H18"/>
    <mergeCell ref="E14:H14"/>
    <mergeCell ref="E15:H15"/>
    <mergeCell ref="E16:H16"/>
    <mergeCell ref="E17:H17"/>
    <mergeCell ref="E13:H13"/>
    <mergeCell ref="B13:C13"/>
    <mergeCell ref="F6:I6"/>
    <mergeCell ref="F7:I7"/>
    <mergeCell ref="F8:I8"/>
    <mergeCell ref="D9:J10"/>
    <mergeCell ref="A1:B1"/>
    <mergeCell ref="A2:B2"/>
    <mergeCell ref="A3:B3"/>
    <mergeCell ref="E3:J3"/>
    <mergeCell ref="F4:I4"/>
  </mergeCells>
  <dataValidations count="1">
    <dataValidation type="list" allowBlank="1" showInputMessage="1" showErrorMessage="1" sqref="C16">
      <formula1>$L$14:$L$17</formula1>
    </dataValidation>
  </dataValidations>
  <hyperlinks>
    <hyperlink ref="B11" location="'Rebate Areas'!A1" display="Rebate Home"/>
    <hyperlink ref="D9:J10" r:id="rId1" display="Duct Check Program"/>
    <hyperlink ref="J5" r:id="rId2" display="Example"/>
    <hyperlink ref="B10" r:id="rId3" display="DEF Approved Contractors"/>
  </hyperlinks>
  <printOptions/>
  <pageMargins left="0.7" right="0.7" top="0.75" bottom="0.75" header="0.3" footer="0.3"/>
  <pageSetup fitToHeight="1" fitToWidth="1" horizontalDpi="600" verticalDpi="600" orientation="landscape" scale="96" r:id="rId4"/>
  <headerFooter>
    <oddHeader>&amp;LProgress Energy Rebate Form&amp;RUniversity of Florida</oddHeader>
  </headerFooter>
</worksheet>
</file>

<file path=xl/worksheets/sheet13.xml><?xml version="1.0" encoding="utf-8"?>
<worksheet xmlns="http://schemas.openxmlformats.org/spreadsheetml/2006/main" xmlns:r="http://schemas.openxmlformats.org/officeDocument/2006/relationships">
  <sheetPr>
    <tabColor theme="3"/>
    <pageSetUpPr fitToPage="1"/>
  </sheetPr>
  <dimension ref="A1:J19"/>
  <sheetViews>
    <sheetView zoomScalePageLayoutView="0" workbookViewId="0" topLeftCell="A1">
      <selection activeCell="B8" sqref="B8"/>
    </sheetView>
  </sheetViews>
  <sheetFormatPr defaultColWidth="9.140625" defaultRowHeight="15"/>
  <cols>
    <col min="1" max="1" width="3.421875" style="0" customWidth="1"/>
    <col min="2" max="2" width="75.7109375" style="0" customWidth="1"/>
    <col min="3" max="3" width="10.00390625" style="0" customWidth="1"/>
    <col min="4" max="4" width="5.00390625" style="0" customWidth="1"/>
    <col min="9" max="9" width="9.7109375" style="0" bestFit="1" customWidth="1"/>
  </cols>
  <sheetData>
    <row r="1" spans="1:10" ht="18.75" customHeight="1">
      <c r="A1" s="198" t="s">
        <v>63</v>
      </c>
      <c r="B1" s="198"/>
      <c r="C1" s="41"/>
      <c r="D1" s="46"/>
      <c r="E1" s="41"/>
      <c r="F1" s="41"/>
      <c r="G1" s="41"/>
      <c r="H1" s="41" t="s">
        <v>42</v>
      </c>
      <c r="I1" s="42">
        <f>PTAC!J1</f>
        <v>42670</v>
      </c>
      <c r="J1" s="41"/>
    </row>
    <row r="2" spans="1:4" ht="14.25" customHeight="1">
      <c r="A2" s="209"/>
      <c r="B2" s="209"/>
      <c r="D2" s="7"/>
    </row>
    <row r="3" spans="1:10" ht="15">
      <c r="A3" s="199" t="s">
        <v>31</v>
      </c>
      <c r="B3" s="199"/>
      <c r="D3" s="7"/>
      <c r="E3" s="202" t="s">
        <v>46</v>
      </c>
      <c r="F3" s="202"/>
      <c r="G3" s="202"/>
      <c r="H3" s="202"/>
      <c r="I3" s="202"/>
      <c r="J3" s="202"/>
    </row>
    <row r="4" spans="1:10" ht="45" customHeight="1">
      <c r="A4" s="12">
        <v>1</v>
      </c>
      <c r="B4" s="56" t="s">
        <v>149</v>
      </c>
      <c r="D4" s="83">
        <v>1</v>
      </c>
      <c r="E4" s="105"/>
      <c r="F4" s="203" t="s">
        <v>151</v>
      </c>
      <c r="G4" s="203"/>
      <c r="H4" s="203"/>
      <c r="I4" s="203"/>
      <c r="J4" s="105"/>
    </row>
    <row r="5" spans="1:10" ht="15">
      <c r="A5" s="7">
        <v>2</v>
      </c>
      <c r="B5" s="70" t="s">
        <v>148</v>
      </c>
      <c r="D5" s="28">
        <v>2</v>
      </c>
      <c r="E5" s="55"/>
      <c r="F5" s="200" t="s">
        <v>152</v>
      </c>
      <c r="G5" s="200"/>
      <c r="H5" s="200"/>
      <c r="I5" s="200"/>
      <c r="J5" s="68" t="s">
        <v>43</v>
      </c>
    </row>
    <row r="6" spans="1:10" ht="15">
      <c r="A6" s="12">
        <v>3</v>
      </c>
      <c r="B6" s="70" t="s">
        <v>150</v>
      </c>
      <c r="D6" s="83">
        <v>3</v>
      </c>
      <c r="E6" s="55"/>
      <c r="F6" s="200"/>
      <c r="G6" s="200"/>
      <c r="H6" s="200"/>
      <c r="I6" s="200"/>
      <c r="J6" s="55"/>
    </row>
    <row r="7" spans="1:10" ht="15">
      <c r="A7" s="12">
        <v>4</v>
      </c>
      <c r="B7" s="86" t="s">
        <v>29</v>
      </c>
      <c r="D7" s="83">
        <v>4</v>
      </c>
      <c r="E7" s="55"/>
      <c r="F7" s="200"/>
      <c r="G7" s="200"/>
      <c r="H7" s="200"/>
      <c r="I7" s="200"/>
      <c r="J7" s="55"/>
    </row>
    <row r="8" spans="1:10" ht="15" customHeight="1">
      <c r="A8" s="12">
        <v>5</v>
      </c>
      <c r="B8" s="40"/>
      <c r="C8" s="40"/>
      <c r="D8" s="213" t="s">
        <v>63</v>
      </c>
      <c r="E8" s="213"/>
      <c r="F8" s="213"/>
      <c r="G8" s="213"/>
      <c r="H8" s="213"/>
      <c r="I8" s="213"/>
      <c r="J8" s="213"/>
    </row>
    <row r="9" spans="3:10" ht="15">
      <c r="C9" s="40"/>
      <c r="D9" s="213"/>
      <c r="E9" s="213"/>
      <c r="F9" s="213"/>
      <c r="G9" s="213"/>
      <c r="H9" s="213"/>
      <c r="I9" s="213"/>
      <c r="J9" s="213"/>
    </row>
    <row r="10" spans="3:10" ht="15">
      <c r="C10" s="40"/>
      <c r="D10" s="213"/>
      <c r="E10" s="213"/>
      <c r="F10" s="213"/>
      <c r="G10" s="213"/>
      <c r="H10" s="213"/>
      <c r="I10" s="213"/>
      <c r="J10" s="213"/>
    </row>
    <row r="12" spans="2:9" ht="15">
      <c r="B12" s="194" t="s">
        <v>217</v>
      </c>
      <c r="C12" s="194"/>
      <c r="E12" s="178" t="s">
        <v>184</v>
      </c>
      <c r="F12" s="178"/>
      <c r="G12" s="178"/>
      <c r="H12" s="23" t="s">
        <v>183</v>
      </c>
      <c r="I12" s="23" t="s">
        <v>181</v>
      </c>
    </row>
    <row r="13" spans="2:10" ht="15">
      <c r="B13" s="143" t="s">
        <v>247</v>
      </c>
      <c r="C13" s="162"/>
      <c r="D13" s="11"/>
      <c r="E13" s="200" t="s">
        <v>210</v>
      </c>
      <c r="F13" s="200"/>
      <c r="G13" s="200"/>
      <c r="H13" s="126">
        <v>5</v>
      </c>
      <c r="I13" s="112" t="s">
        <v>206</v>
      </c>
      <c r="J13" s="11"/>
    </row>
    <row r="14" spans="1:3" s="11" customFormat="1" ht="19.5" customHeight="1">
      <c r="A14"/>
      <c r="B14" s="23" t="s">
        <v>248</v>
      </c>
      <c r="C14" s="140"/>
    </row>
    <row r="15" spans="1:3" s="11" customFormat="1" ht="19.5" customHeight="1">
      <c r="A15"/>
      <c r="B15" s="146" t="s">
        <v>240</v>
      </c>
      <c r="C15" s="163">
        <f>IF(C13*0.5&gt;C14*H13,C14*H13,C13*0.5)</f>
        <v>0</v>
      </c>
    </row>
    <row r="16" spans="1:2" s="11" customFormat="1" ht="19.5" customHeight="1">
      <c r="A16"/>
      <c r="B16"/>
    </row>
    <row r="17" spans="1:2" s="11" customFormat="1" ht="19.5" customHeight="1">
      <c r="A17"/>
      <c r="B17"/>
    </row>
    <row r="18" spans="1:2" s="11" customFormat="1" ht="19.5" customHeight="1">
      <c r="A18"/>
      <c r="B18"/>
    </row>
    <row r="19" spans="1:10" s="11" customFormat="1" ht="19.5" customHeight="1">
      <c r="A19"/>
      <c r="B19"/>
      <c r="D19"/>
      <c r="E19"/>
      <c r="F19"/>
      <c r="G19"/>
      <c r="H19"/>
      <c r="I19"/>
      <c r="J19"/>
    </row>
    <row r="20" ht="15" customHeight="1"/>
  </sheetData>
  <sheetProtection/>
  <mergeCells count="12">
    <mergeCell ref="A3:B3"/>
    <mergeCell ref="A1:B1"/>
    <mergeCell ref="A2:B2"/>
    <mergeCell ref="E3:J3"/>
    <mergeCell ref="F5:I5"/>
    <mergeCell ref="F6:I6"/>
    <mergeCell ref="F7:I7"/>
    <mergeCell ref="B12:C12"/>
    <mergeCell ref="E12:G12"/>
    <mergeCell ref="E13:G13"/>
    <mergeCell ref="D8:J10"/>
    <mergeCell ref="F4:I4"/>
  </mergeCells>
  <hyperlinks>
    <hyperlink ref="B7" location="'Rebate Areas'!A1" display="Rebate Home"/>
    <hyperlink ref="J5" r:id="rId1" display="Example"/>
    <hyperlink ref="D8:J10" r:id="rId2" display="Chiller Tuneup"/>
  </hyperlinks>
  <printOptions/>
  <pageMargins left="0.7" right="0.7" top="0.75" bottom="0.75" header="0.3" footer="0.3"/>
  <pageSetup fitToHeight="1" fitToWidth="1" horizontalDpi="600" verticalDpi="600" orientation="landscape" scale="81" r:id="rId3"/>
  <headerFooter>
    <oddHeader>&amp;LProgress Energy Rebate Form&amp;RUniversity of Florida</oddHeader>
  </headerFooter>
</worksheet>
</file>

<file path=xl/worksheets/sheet14.xml><?xml version="1.0" encoding="utf-8"?>
<worksheet xmlns="http://schemas.openxmlformats.org/spreadsheetml/2006/main" xmlns:r="http://schemas.openxmlformats.org/officeDocument/2006/relationships">
  <sheetPr>
    <tabColor theme="3"/>
    <pageSetUpPr fitToPage="1"/>
  </sheetPr>
  <dimension ref="A1:J38"/>
  <sheetViews>
    <sheetView zoomScalePageLayoutView="0" workbookViewId="0" topLeftCell="A1">
      <selection activeCell="B14" sqref="B14:D14"/>
    </sheetView>
  </sheetViews>
  <sheetFormatPr defaultColWidth="9.140625" defaultRowHeight="15"/>
  <cols>
    <col min="1" max="1" width="3.421875" style="0" customWidth="1"/>
    <col min="2" max="2" width="75.7109375" style="0" customWidth="1"/>
    <col min="4" max="4" width="5.00390625" style="0" customWidth="1"/>
    <col min="9" max="9" width="9.7109375" style="0" bestFit="1" customWidth="1"/>
  </cols>
  <sheetData>
    <row r="1" spans="1:10" ht="18.75" customHeight="1">
      <c r="A1" s="48" t="s">
        <v>64</v>
      </c>
      <c r="B1" s="48"/>
      <c r="C1" s="41"/>
      <c r="D1" s="46"/>
      <c r="E1" s="41"/>
      <c r="F1" s="41"/>
      <c r="G1" s="41"/>
      <c r="H1" s="41" t="s">
        <v>42</v>
      </c>
      <c r="I1" s="42">
        <f>'Chlr Tune'!I1</f>
        <v>42670</v>
      </c>
      <c r="J1" s="41"/>
    </row>
    <row r="2" spans="1:4" ht="14.25" customHeight="1">
      <c r="A2" s="209"/>
      <c r="B2" s="209"/>
      <c r="D2" s="7"/>
    </row>
    <row r="3" spans="1:10" ht="15">
      <c r="A3" s="199" t="s">
        <v>44</v>
      </c>
      <c r="B3" s="199"/>
      <c r="D3" s="7"/>
      <c r="E3" s="202" t="s">
        <v>46</v>
      </c>
      <c r="F3" s="202"/>
      <c r="G3" s="202"/>
      <c r="H3" s="202"/>
      <c r="I3" s="202"/>
      <c r="J3" s="202"/>
    </row>
    <row r="4" spans="1:10" ht="45" customHeight="1">
      <c r="A4" s="12">
        <v>1</v>
      </c>
      <c r="B4" s="56" t="s">
        <v>149</v>
      </c>
      <c r="D4" s="28">
        <v>1</v>
      </c>
      <c r="E4" s="55"/>
      <c r="F4" s="203" t="s">
        <v>151</v>
      </c>
      <c r="G4" s="203"/>
      <c r="H4" s="203"/>
      <c r="I4" s="203"/>
      <c r="J4" s="55"/>
    </row>
    <row r="5" spans="1:10" ht="15" customHeight="1">
      <c r="A5" s="12">
        <v>2</v>
      </c>
      <c r="B5" s="70" t="s">
        <v>153</v>
      </c>
      <c r="D5" s="28">
        <v>2</v>
      </c>
      <c r="E5" s="55"/>
      <c r="F5" s="200" t="s">
        <v>154</v>
      </c>
      <c r="G5" s="200"/>
      <c r="H5" s="200"/>
      <c r="I5" s="200"/>
      <c r="J5" s="68" t="s">
        <v>43</v>
      </c>
    </row>
    <row r="6" spans="1:10" ht="15">
      <c r="A6" s="12">
        <v>3</v>
      </c>
      <c r="B6" s="70" t="s">
        <v>150</v>
      </c>
      <c r="D6" s="28">
        <v>3</v>
      </c>
      <c r="E6" s="55"/>
      <c r="F6" s="242"/>
      <c r="G6" s="242"/>
      <c r="H6" s="242"/>
      <c r="I6" s="242"/>
      <c r="J6" s="55"/>
    </row>
    <row r="7" spans="1:10" ht="15">
      <c r="A7" s="12">
        <v>4</v>
      </c>
      <c r="B7" s="70"/>
      <c r="D7" s="185" t="s">
        <v>64</v>
      </c>
      <c r="E7" s="186"/>
      <c r="F7" s="186"/>
      <c r="G7" s="186"/>
      <c r="H7" s="186"/>
      <c r="I7" s="186"/>
      <c r="J7" s="187"/>
    </row>
    <row r="8" spans="1:10" ht="15">
      <c r="A8" s="12">
        <v>5</v>
      </c>
      <c r="B8" s="70"/>
      <c r="D8" s="188"/>
      <c r="E8" s="189"/>
      <c r="F8" s="189"/>
      <c r="G8" s="189"/>
      <c r="H8" s="189"/>
      <c r="I8" s="189"/>
      <c r="J8" s="190"/>
    </row>
    <row r="9" spans="1:10" ht="15">
      <c r="A9" s="12">
        <v>6</v>
      </c>
      <c r="B9" s="70"/>
      <c r="D9" s="191"/>
      <c r="E9" s="192"/>
      <c r="F9" s="192"/>
      <c r="G9" s="192"/>
      <c r="H9" s="192"/>
      <c r="I9" s="192"/>
      <c r="J9" s="193"/>
    </row>
    <row r="10" ht="15">
      <c r="B10" s="40"/>
    </row>
    <row r="11" spans="2:10" ht="15">
      <c r="B11" s="86" t="s">
        <v>29</v>
      </c>
      <c r="F11" s="196" t="s">
        <v>184</v>
      </c>
      <c r="G11" s="235"/>
      <c r="H11" s="197"/>
      <c r="I11" s="23" t="s">
        <v>183</v>
      </c>
      <c r="J11" s="23" t="s">
        <v>181</v>
      </c>
    </row>
    <row r="12" spans="6:10" ht="15">
      <c r="F12" s="236" t="s">
        <v>211</v>
      </c>
      <c r="G12" s="237"/>
      <c r="H12" s="238"/>
      <c r="I12" s="126">
        <v>25</v>
      </c>
      <c r="J12" s="112" t="s">
        <v>206</v>
      </c>
    </row>
    <row r="13" spans="4:10" ht="15">
      <c r="D13" s="11"/>
      <c r="F13" s="239" t="s">
        <v>212</v>
      </c>
      <c r="G13" s="240"/>
      <c r="H13" s="241"/>
      <c r="I13" s="125">
        <v>25</v>
      </c>
      <c r="J13" s="23" t="s">
        <v>206</v>
      </c>
    </row>
    <row r="14" spans="1:10" s="11" customFormat="1" ht="19.5" customHeight="1">
      <c r="A14"/>
      <c r="B14" s="216" t="s">
        <v>217</v>
      </c>
      <c r="C14" s="217"/>
      <c r="D14" s="218"/>
      <c r="E14"/>
      <c r="F14"/>
      <c r="G14"/>
      <c r="H14"/>
      <c r="I14"/>
      <c r="J14"/>
    </row>
    <row r="15" spans="2:4" ht="19.5" customHeight="1">
      <c r="B15" s="143" t="s">
        <v>250</v>
      </c>
      <c r="C15" s="145"/>
      <c r="D15" s="23"/>
    </row>
    <row r="16" spans="2:4" ht="19.5" customHeight="1">
      <c r="B16" s="116" t="s">
        <v>251</v>
      </c>
      <c r="C16" s="23"/>
      <c r="D16" s="23"/>
    </row>
    <row r="17" spans="2:4" ht="19.5" customHeight="1">
      <c r="B17" s="144">
        <f>IF($C$15&gt;=1,"AHU #1","")</f>
      </c>
      <c r="C17" s="141"/>
      <c r="D17" s="124">
        <f>IF($C$15&gt;=1,"tons","")</f>
      </c>
    </row>
    <row r="18" spans="2:4" ht="19.5" customHeight="1">
      <c r="B18" s="144">
        <f>IF($C$15&gt;=2,"AHU #2","")</f>
      </c>
      <c r="C18" s="141"/>
      <c r="D18" s="124">
        <f>IF($C$15&gt;=2,"tons","")</f>
      </c>
    </row>
    <row r="19" spans="2:4" ht="19.5" customHeight="1">
      <c r="B19" s="144">
        <f>IF($C$15&gt;=3,"AHU #3","")</f>
      </c>
      <c r="C19" s="141"/>
      <c r="D19" s="124">
        <f>IF($C$15&gt;=3,"tons","")</f>
      </c>
    </row>
    <row r="20" spans="2:4" ht="15">
      <c r="B20" s="144">
        <f>IF($C$15&gt;=4,"AHU #4","")</f>
      </c>
      <c r="C20" s="141"/>
      <c r="D20" s="124">
        <f>IF($C$15&gt;=4,"tons","")</f>
      </c>
    </row>
    <row r="21" spans="2:4" ht="15">
      <c r="B21" s="144">
        <f>IF($C$15&gt;=5,"AHU #5","")</f>
      </c>
      <c r="C21" s="141"/>
      <c r="D21" s="124">
        <f>IF($C$15&gt;=5,"tons","")</f>
      </c>
    </row>
    <row r="22" spans="2:4" ht="15">
      <c r="B22" s="144">
        <f>IF($C$15&gt;=6,"AHU #6","")</f>
      </c>
      <c r="C22" s="141"/>
      <c r="D22" s="124">
        <f>IF($C$15&gt;=6,"tons","")</f>
      </c>
    </row>
    <row r="23" spans="2:4" ht="15">
      <c r="B23" s="144">
        <f>IF($C$15&gt;=7,"AHU #7","")</f>
      </c>
      <c r="C23" s="141"/>
      <c r="D23" s="124">
        <f>IF($C$15&gt;=7,"tons","")</f>
      </c>
    </row>
    <row r="24" spans="2:4" ht="15">
      <c r="B24" s="144">
        <f>IF($C$15&gt;=8,"AHU #8","")</f>
      </c>
      <c r="C24" s="141"/>
      <c r="D24" s="124">
        <f>IF($C$15&gt;=8,"tons","")</f>
      </c>
    </row>
    <row r="25" spans="2:4" ht="15">
      <c r="B25" s="144">
        <f>IF($C$15&gt;=9,"AHU #9","")</f>
      </c>
      <c r="C25" s="141"/>
      <c r="D25" s="124">
        <f>IF($C$15&gt;=9,"tons","")</f>
      </c>
    </row>
    <row r="26" spans="2:4" ht="15">
      <c r="B26" s="144">
        <f>IF($C$15&gt;=10,"AHU #10","")</f>
      </c>
      <c r="C26" s="141"/>
      <c r="D26" s="124">
        <f>IF($C$15&gt;=10,"tons","")</f>
      </c>
    </row>
    <row r="27" spans="2:4" ht="15">
      <c r="B27" s="144">
        <f>IF($C$15&gt;=11,"AHU #11","")</f>
      </c>
      <c r="C27" s="141"/>
      <c r="D27" s="124">
        <f>IF($C$15&gt;=11,"tons","")</f>
      </c>
    </row>
    <row r="28" spans="2:4" ht="15">
      <c r="B28" s="144">
        <f>IF($C$15&gt;=12,"AHU #12","")</f>
      </c>
      <c r="C28" s="141"/>
      <c r="D28" s="124">
        <f>IF($C$15&gt;=12,"tons","")</f>
      </c>
    </row>
    <row r="29" spans="2:4" ht="15">
      <c r="B29" s="144">
        <f>IF($C$15&gt;=13,"AHU #13","")</f>
      </c>
      <c r="C29" s="141"/>
      <c r="D29" s="124">
        <f>IF($C$15&gt;=13,"tons","")</f>
      </c>
    </row>
    <row r="30" spans="2:4" ht="15">
      <c r="B30" s="144">
        <f>IF($C$15&gt;=14,"AHU #14","")</f>
      </c>
      <c r="C30" s="141"/>
      <c r="D30" s="124">
        <f>IF($C$15&gt;=14,"tons","")</f>
      </c>
    </row>
    <row r="31" spans="2:4" ht="15">
      <c r="B31" s="144">
        <f>IF($C$15&gt;=15,"AHU #15","")</f>
      </c>
      <c r="C31" s="141"/>
      <c r="D31" s="124">
        <f>IF($C$15&gt;=15,"tons","")</f>
      </c>
    </row>
    <row r="32" spans="2:4" ht="15">
      <c r="B32" s="144">
        <f>IF($C$15&gt;=16,"AHU #16","")</f>
      </c>
      <c r="C32" s="141"/>
      <c r="D32" s="124">
        <f>IF($C$15&gt;=16,"tons","")</f>
      </c>
    </row>
    <row r="33" spans="2:4" ht="15">
      <c r="B33" s="144">
        <f>IF($C$15&gt;=17,"AHU #17","")</f>
      </c>
      <c r="C33" s="141"/>
      <c r="D33" s="124">
        <f>IF($C$15&gt;=17,"tons","")</f>
      </c>
    </row>
    <row r="34" spans="2:4" ht="15">
      <c r="B34" s="144">
        <f>IF($C$15&gt;=18,"AHU #18","")</f>
      </c>
      <c r="C34" s="141"/>
      <c r="D34" s="124">
        <f>IF($C$15&gt;=18,"tons","")</f>
      </c>
    </row>
    <row r="35" spans="2:4" ht="15">
      <c r="B35" s="144">
        <f>IF($C$15&gt;=19,"AHU #19","")</f>
      </c>
      <c r="C35" s="141"/>
      <c r="D35" s="124">
        <f>IF($C$15&gt;=19,"tons","")</f>
      </c>
    </row>
    <row r="36" spans="2:4" ht="15">
      <c r="B36" s="144">
        <f>IF($C$15&gt;=20,"AHU #20","")</f>
      </c>
      <c r="C36" s="141"/>
      <c r="D36" s="124">
        <f>IF($C$15&gt;=20,"tons","")</f>
      </c>
    </row>
    <row r="37" spans="2:4" ht="15">
      <c r="B37" s="144" t="s">
        <v>222</v>
      </c>
      <c r="C37" s="164">
        <f>SUM(C17:C36)*I12</f>
        <v>0</v>
      </c>
      <c r="D37" s="144"/>
    </row>
    <row r="38" spans="2:4" ht="15">
      <c r="B38" s="127"/>
      <c r="D38" s="127"/>
    </row>
  </sheetData>
  <sheetProtection/>
  <mergeCells count="11">
    <mergeCell ref="F6:I6"/>
    <mergeCell ref="F11:H11"/>
    <mergeCell ref="F12:H12"/>
    <mergeCell ref="F13:H13"/>
    <mergeCell ref="B14:D14"/>
    <mergeCell ref="D7:J9"/>
    <mergeCell ref="A2:B2"/>
    <mergeCell ref="A3:B3"/>
    <mergeCell ref="E3:J3"/>
    <mergeCell ref="F4:I4"/>
    <mergeCell ref="F5:I5"/>
  </mergeCells>
  <hyperlinks>
    <hyperlink ref="B11" location="'Rebate Areas'!A1" display="Rebate Home"/>
    <hyperlink ref="D7:J9" r:id="rId1" display="HVAC Tuneup"/>
    <hyperlink ref="J5" r:id="rId2" display="Example"/>
  </hyperlinks>
  <printOptions/>
  <pageMargins left="0.7" right="0.7" top="0.75" bottom="0.75" header="0.3" footer="0.3"/>
  <pageSetup fitToHeight="1" fitToWidth="1" horizontalDpi="600" verticalDpi="600" orientation="landscape" scale="83" r:id="rId3"/>
  <headerFooter>
    <oddHeader>&amp;LProgress Energy Rebate Form&amp;RUniversity of Florida</oddHeader>
  </headerFooter>
</worksheet>
</file>

<file path=xl/worksheets/sheet15.xml><?xml version="1.0" encoding="utf-8"?>
<worksheet xmlns="http://schemas.openxmlformats.org/spreadsheetml/2006/main" xmlns:r="http://schemas.openxmlformats.org/officeDocument/2006/relationships">
  <sheetPr>
    <tabColor theme="3"/>
    <pageSetUpPr fitToPage="1"/>
  </sheetPr>
  <dimension ref="A1:J35"/>
  <sheetViews>
    <sheetView zoomScalePageLayoutView="0" workbookViewId="0" topLeftCell="A1">
      <selection activeCell="B8" sqref="B8"/>
    </sheetView>
  </sheetViews>
  <sheetFormatPr defaultColWidth="9.140625" defaultRowHeight="15"/>
  <cols>
    <col min="1" max="1" width="3.421875" style="0" customWidth="1"/>
    <col min="2" max="2" width="75.7109375" style="0" customWidth="1"/>
    <col min="4" max="4" width="5.421875" style="0" customWidth="1"/>
    <col min="9" max="9" width="9.7109375" style="0" bestFit="1" customWidth="1"/>
  </cols>
  <sheetData>
    <row r="1" spans="1:10" ht="18.75" customHeight="1">
      <c r="A1" s="198" t="s">
        <v>8</v>
      </c>
      <c r="B1" s="198"/>
      <c r="C1" s="41"/>
      <c r="D1" s="46"/>
      <c r="E1" s="41"/>
      <c r="F1" s="41"/>
      <c r="G1" s="41"/>
      <c r="H1" s="41" t="s">
        <v>42</v>
      </c>
      <c r="I1" s="42">
        <f>'Roof Ins'!I1</f>
        <v>42670</v>
      </c>
      <c r="J1" s="41"/>
    </row>
    <row r="2" spans="1:4" ht="14.25" customHeight="1">
      <c r="A2" s="209"/>
      <c r="B2" s="209"/>
      <c r="D2" s="7"/>
    </row>
    <row r="3" spans="1:10" ht="15">
      <c r="A3" s="199" t="s">
        <v>31</v>
      </c>
      <c r="B3" s="199"/>
      <c r="D3" s="7"/>
      <c r="E3" s="202" t="s">
        <v>46</v>
      </c>
      <c r="F3" s="202"/>
      <c r="G3" s="202"/>
      <c r="H3" s="202"/>
      <c r="I3" s="202"/>
      <c r="J3" s="202"/>
    </row>
    <row r="4" spans="1:10" ht="30">
      <c r="A4" s="12">
        <v>1</v>
      </c>
      <c r="B4" s="70" t="s">
        <v>163</v>
      </c>
      <c r="D4" s="83">
        <v>1</v>
      </c>
      <c r="E4" s="55"/>
      <c r="F4" s="245" t="s">
        <v>165</v>
      </c>
      <c r="G4" s="246"/>
      <c r="H4" s="246"/>
      <c r="I4" s="247"/>
      <c r="J4" s="84"/>
    </row>
    <row r="5" spans="1:10" ht="15">
      <c r="A5" s="12">
        <v>2</v>
      </c>
      <c r="B5" s="70" t="s">
        <v>10</v>
      </c>
      <c r="D5" s="83">
        <v>2</v>
      </c>
      <c r="E5" s="55"/>
      <c r="F5" s="201" t="s">
        <v>166</v>
      </c>
      <c r="G5" s="201"/>
      <c r="H5" s="201"/>
      <c r="I5" s="201"/>
      <c r="J5" s="68" t="s">
        <v>43</v>
      </c>
    </row>
    <row r="6" spans="1:10" ht="15">
      <c r="A6" s="27">
        <v>3</v>
      </c>
      <c r="B6" s="56" t="s">
        <v>164</v>
      </c>
      <c r="D6" s="83">
        <v>3</v>
      </c>
      <c r="E6" s="55"/>
      <c r="F6" s="200"/>
      <c r="G6" s="200"/>
      <c r="H6" s="200"/>
      <c r="I6" s="200"/>
      <c r="J6" s="55"/>
    </row>
    <row r="7" spans="1:10" ht="15">
      <c r="A7" s="12">
        <v>4</v>
      </c>
      <c r="B7" s="40"/>
      <c r="D7" s="28">
        <v>4</v>
      </c>
      <c r="E7" s="55"/>
      <c r="F7" s="200"/>
      <c r="G7" s="200"/>
      <c r="H7" s="200"/>
      <c r="I7" s="200"/>
      <c r="J7" s="55"/>
    </row>
    <row r="8" spans="2:10" ht="17.25" customHeight="1">
      <c r="B8" s="86" t="s">
        <v>29</v>
      </c>
      <c r="C8" s="40"/>
      <c r="D8" s="213" t="s">
        <v>8</v>
      </c>
      <c r="E8" s="213"/>
      <c r="F8" s="213"/>
      <c r="G8" s="213"/>
      <c r="H8" s="213"/>
      <c r="I8" s="213"/>
      <c r="J8" s="213"/>
    </row>
    <row r="9" spans="3:10" ht="15">
      <c r="C9" s="40"/>
      <c r="D9" s="213"/>
      <c r="E9" s="213"/>
      <c r="F9" s="213"/>
      <c r="G9" s="213"/>
      <c r="H9" s="213"/>
      <c r="I9" s="213"/>
      <c r="J9" s="213"/>
    </row>
    <row r="10" spans="3:10" ht="15">
      <c r="C10" s="40"/>
      <c r="D10" s="213"/>
      <c r="E10" s="213"/>
      <c r="F10" s="213"/>
      <c r="G10" s="213"/>
      <c r="H10" s="213"/>
      <c r="I10" s="213"/>
      <c r="J10" s="213"/>
    </row>
    <row r="11" ht="19.5" customHeight="1"/>
    <row r="12" spans="2:10" ht="19.5" customHeight="1">
      <c r="B12" s="194" t="s">
        <v>217</v>
      </c>
      <c r="C12" s="194"/>
      <c r="D12" s="23"/>
      <c r="F12" s="196" t="s">
        <v>184</v>
      </c>
      <c r="G12" s="235"/>
      <c r="H12" s="197"/>
      <c r="I12" s="23" t="s">
        <v>183</v>
      </c>
      <c r="J12" s="23" t="s">
        <v>181</v>
      </c>
    </row>
    <row r="13" spans="2:10" ht="19.5" customHeight="1">
      <c r="B13" s="143" t="s">
        <v>256</v>
      </c>
      <c r="C13" s="145"/>
      <c r="D13" s="23"/>
      <c r="F13" s="236" t="s">
        <v>211</v>
      </c>
      <c r="G13" s="237"/>
      <c r="H13" s="238"/>
      <c r="I13" s="126">
        <v>25</v>
      </c>
      <c r="J13" s="116" t="s">
        <v>206</v>
      </c>
    </row>
    <row r="14" spans="2:10" ht="19.5" customHeight="1">
      <c r="B14" s="116" t="s">
        <v>251</v>
      </c>
      <c r="C14" s="23"/>
      <c r="D14" s="23"/>
      <c r="F14" s="239" t="s">
        <v>212</v>
      </c>
      <c r="G14" s="240"/>
      <c r="H14" s="241"/>
      <c r="I14" s="125">
        <v>25</v>
      </c>
      <c r="J14" s="23" t="s">
        <v>206</v>
      </c>
    </row>
    <row r="15" spans="2:4" ht="19.5" customHeight="1">
      <c r="B15" s="144">
        <f>IF($C$13&gt;=1,"AHU #1","")</f>
      </c>
      <c r="C15" s="141"/>
      <c r="D15" s="124">
        <f>IF($C$13&gt;=1,"tons","")</f>
      </c>
    </row>
    <row r="16" spans="2:4" ht="19.5" customHeight="1">
      <c r="B16" s="144">
        <f>IF($C$13&gt;=2,"AHU #2","")</f>
      </c>
      <c r="C16" s="141"/>
      <c r="D16" s="124">
        <f>IF($C$13&gt;=2,"tons","")</f>
      </c>
    </row>
    <row r="17" spans="2:4" ht="19.5" customHeight="1">
      <c r="B17" s="144">
        <f>IF($C$13&gt;=3,"AHU #3","")</f>
      </c>
      <c r="C17" s="141"/>
      <c r="D17" s="124">
        <f>IF($C$13&gt;=3,"tons","")</f>
      </c>
    </row>
    <row r="18" spans="2:4" ht="15">
      <c r="B18" s="144">
        <f>IF($C$13&gt;=4,"AHU #4","")</f>
      </c>
      <c r="C18" s="141"/>
      <c r="D18" s="124">
        <f>IF($C$13&gt;=4,"tons","")</f>
      </c>
    </row>
    <row r="19" spans="2:4" ht="15">
      <c r="B19" s="144">
        <f>IF($C$13&gt;=5,"AHU #5","")</f>
      </c>
      <c r="C19" s="141"/>
      <c r="D19" s="124">
        <f>IF($C$13&gt;=5,"tons","")</f>
      </c>
    </row>
    <row r="20" spans="2:4" ht="15">
      <c r="B20" s="144">
        <f>IF($C$13&gt;=6,"AHU #6","")</f>
      </c>
      <c r="C20" s="141"/>
      <c r="D20" s="124">
        <f>IF($C$13&gt;=6,"tons","")</f>
      </c>
    </row>
    <row r="21" spans="2:4" ht="15" customHeight="1">
      <c r="B21" s="144">
        <f>IF($C$13&gt;=7,"AHU #7","")</f>
      </c>
      <c r="C21" s="141"/>
      <c r="D21" s="124">
        <f>IF($C$13&gt;=7,"tons","")</f>
      </c>
    </row>
    <row r="22" spans="2:4" ht="15">
      <c r="B22" s="144">
        <f>IF($C$13&gt;=8,"AHU #8","")</f>
      </c>
      <c r="C22" s="141"/>
      <c r="D22" s="124">
        <f>IF($C$13&gt;=8,"tons","")</f>
      </c>
    </row>
    <row r="23" spans="2:4" ht="15">
      <c r="B23" s="144">
        <f>IF($C$13&gt;=9,"AHU #9","")</f>
      </c>
      <c r="C23" s="141"/>
      <c r="D23" s="124">
        <f>IF($C$13&gt;=9,"tons","")</f>
      </c>
    </row>
    <row r="24" spans="2:4" ht="15">
      <c r="B24" s="144">
        <f>IF($C$13&gt;=10,"AHU #10","")</f>
      </c>
      <c r="C24" s="141"/>
      <c r="D24" s="124">
        <f>IF($C$13&gt;=10,"tons","")</f>
      </c>
    </row>
    <row r="25" spans="2:4" ht="15">
      <c r="B25" s="144">
        <f>IF($C$13&gt;=11,"AHU #11","")</f>
      </c>
      <c r="C25" s="141"/>
      <c r="D25" s="124">
        <f>IF($C$13&gt;=11,"tons","")</f>
      </c>
    </row>
    <row r="26" spans="2:4" ht="15">
      <c r="B26" s="144">
        <f>IF($C$13&gt;=12,"AHU #12","")</f>
      </c>
      <c r="C26" s="141"/>
      <c r="D26" s="124">
        <f>IF($C$13&gt;=12,"tons","")</f>
      </c>
    </row>
    <row r="27" spans="2:4" ht="15">
      <c r="B27" s="144">
        <f>IF($C$13&gt;=13,"AHU #13","")</f>
      </c>
      <c r="C27" s="141"/>
      <c r="D27" s="124">
        <f>IF($C$13&gt;=13,"tons","")</f>
      </c>
    </row>
    <row r="28" spans="2:4" ht="15">
      <c r="B28" s="144">
        <f>IF($C$13&gt;=14,"AHU #14","")</f>
      </c>
      <c r="C28" s="141"/>
      <c r="D28" s="124">
        <f>IF($C$13&gt;=14,"tons","")</f>
      </c>
    </row>
    <row r="29" spans="2:4" ht="15">
      <c r="B29" s="144">
        <f>IF($C$13&gt;=15,"AHU #15","")</f>
      </c>
      <c r="C29" s="141"/>
      <c r="D29" s="124">
        <f>IF($C$13&gt;=15,"tons","")</f>
      </c>
    </row>
    <row r="30" spans="2:4" ht="15">
      <c r="B30" s="144">
        <f>IF($C$13&gt;=16,"AHU #16","")</f>
      </c>
      <c r="C30" s="141"/>
      <c r="D30" s="124">
        <f>IF($C$13&gt;=16,"tons","")</f>
      </c>
    </row>
    <row r="31" spans="2:4" ht="15">
      <c r="B31" s="144">
        <f>IF($C$13&gt;=17,"AHU #17","")</f>
      </c>
      <c r="C31" s="141"/>
      <c r="D31" s="124">
        <f>IF($C$13&gt;=17,"tons","")</f>
      </c>
    </row>
    <row r="32" spans="2:4" ht="15">
      <c r="B32" s="144">
        <f>IF($C$13&gt;=18,"AHU #18","")</f>
      </c>
      <c r="C32" s="141"/>
      <c r="D32" s="124">
        <f>IF($C$13&gt;=18,"tons","")</f>
      </c>
    </row>
    <row r="33" spans="2:4" ht="15">
      <c r="B33" s="144">
        <f>IF($C$13&gt;=19,"AHU #19","")</f>
      </c>
      <c r="C33" s="141"/>
      <c r="D33" s="124">
        <f>IF($C$13&gt;=19,"tons","")</f>
      </c>
    </row>
    <row r="34" spans="2:4" ht="15">
      <c r="B34" s="144">
        <f>IF($C$13&gt;=20,"AHU #20","")</f>
      </c>
      <c r="C34" s="141"/>
      <c r="D34" s="124">
        <f>IF($C$13&gt;=20,"tons","")</f>
      </c>
    </row>
    <row r="35" spans="2:4" ht="15">
      <c r="B35" s="144" t="s">
        <v>222</v>
      </c>
      <c r="C35" s="164">
        <f>SUM(C15:C34)*I13</f>
        <v>0</v>
      </c>
      <c r="D35" s="144"/>
    </row>
  </sheetData>
  <sheetProtection/>
  <mergeCells count="13">
    <mergeCell ref="F14:H14"/>
    <mergeCell ref="F7:I7"/>
    <mergeCell ref="D8:J10"/>
    <mergeCell ref="A3:B3"/>
    <mergeCell ref="B12:C12"/>
    <mergeCell ref="F12:H12"/>
    <mergeCell ref="F13:H13"/>
    <mergeCell ref="A1:B1"/>
    <mergeCell ref="A2:B2"/>
    <mergeCell ref="E3:J3"/>
    <mergeCell ref="F5:I5"/>
    <mergeCell ref="F4:I4"/>
    <mergeCell ref="F6:I6"/>
  </mergeCells>
  <hyperlinks>
    <hyperlink ref="B8" location="'Rebate Areas'!A1" display="Rebate Home"/>
    <hyperlink ref="J5" r:id="rId1" display="Example"/>
    <hyperlink ref="D8:J10" r:id="rId2" display="Rooftop HVAC Recommissioning"/>
  </hyperlinks>
  <printOptions/>
  <pageMargins left="0.7" right="0.7" top="0.75" bottom="0.75" header="0.3" footer="0.3"/>
  <pageSetup fitToHeight="1" fitToWidth="1" horizontalDpi="600" verticalDpi="600" orientation="landscape" scale="83" r:id="rId3"/>
  <headerFooter>
    <oddHeader>&amp;LProgress Energy Rebate Form&amp;RUniversity of Florida</oddHeader>
  </headerFooter>
</worksheet>
</file>

<file path=xl/worksheets/sheet16.xml><?xml version="1.0" encoding="utf-8"?>
<worksheet xmlns="http://schemas.openxmlformats.org/spreadsheetml/2006/main" xmlns:r="http://schemas.openxmlformats.org/officeDocument/2006/relationships">
  <sheetPr>
    <tabColor theme="6"/>
    <pageSetUpPr fitToPage="1"/>
  </sheetPr>
  <dimension ref="A1:J27"/>
  <sheetViews>
    <sheetView zoomScalePageLayoutView="0" workbookViewId="0" topLeftCell="A1">
      <selection activeCell="E13" sqref="E13"/>
    </sheetView>
  </sheetViews>
  <sheetFormatPr defaultColWidth="9.140625" defaultRowHeight="15"/>
  <cols>
    <col min="1" max="1" width="2.00390625" style="0" bestFit="1" customWidth="1"/>
    <col min="2" max="2" width="65.57421875" style="0" bestFit="1" customWidth="1"/>
    <col min="9" max="9" width="9.7109375" style="0" bestFit="1" customWidth="1"/>
    <col min="10" max="10" width="13.28125" style="0" customWidth="1"/>
  </cols>
  <sheetData>
    <row r="1" spans="1:10" ht="18.75" customHeight="1">
      <c r="A1" s="198" t="s">
        <v>171</v>
      </c>
      <c r="B1" s="198"/>
      <c r="C1" s="41"/>
      <c r="D1" s="46"/>
      <c r="E1" s="41"/>
      <c r="F1" s="41"/>
      <c r="G1" s="41"/>
      <c r="H1" s="41" t="s">
        <v>42</v>
      </c>
      <c r="I1" s="42">
        <f>Ceiling!I1</f>
        <v>42670</v>
      </c>
      <c r="J1" s="41"/>
    </row>
    <row r="2" spans="1:4" ht="14.25" customHeight="1">
      <c r="A2" s="209"/>
      <c r="B2" s="209"/>
      <c r="D2" s="7"/>
    </row>
    <row r="3" spans="1:10" ht="15">
      <c r="A3" s="199" t="s">
        <v>44</v>
      </c>
      <c r="B3" s="199"/>
      <c r="D3" s="7"/>
      <c r="E3" s="202" t="s">
        <v>46</v>
      </c>
      <c r="F3" s="202"/>
      <c r="G3" s="202"/>
      <c r="H3" s="202"/>
      <c r="I3" s="202"/>
      <c r="J3" s="202"/>
    </row>
    <row r="4" spans="1:10" ht="150" customHeight="1">
      <c r="A4" s="15"/>
      <c r="B4" s="70" t="s">
        <v>172</v>
      </c>
      <c r="D4" s="28">
        <v>1</v>
      </c>
      <c r="E4" s="55"/>
      <c r="F4" s="251" t="s">
        <v>173</v>
      </c>
      <c r="G4" s="251"/>
      <c r="H4" s="251"/>
      <c r="I4" s="251"/>
      <c r="J4" s="73" t="s">
        <v>174</v>
      </c>
    </row>
    <row r="5" spans="1:10" ht="48" customHeight="1">
      <c r="A5" s="15"/>
      <c r="B5" s="73" t="s">
        <v>84</v>
      </c>
      <c r="D5" s="28">
        <v>2</v>
      </c>
      <c r="E5" s="55"/>
      <c r="F5" s="203" t="s">
        <v>54</v>
      </c>
      <c r="G5" s="203"/>
      <c r="H5" s="203"/>
      <c r="I5" s="203"/>
      <c r="J5" s="55"/>
    </row>
    <row r="6" spans="1:10" ht="30" customHeight="1">
      <c r="A6" s="15"/>
      <c r="B6" s="86" t="s">
        <v>29</v>
      </c>
      <c r="D6" s="28">
        <v>3</v>
      </c>
      <c r="E6" s="55"/>
      <c r="F6" s="201" t="s">
        <v>162</v>
      </c>
      <c r="G6" s="201"/>
      <c r="H6" s="201"/>
      <c r="I6" s="201"/>
      <c r="J6" s="68" t="s">
        <v>43</v>
      </c>
    </row>
    <row r="7" spans="1:10" s="53" customFormat="1" ht="15" customHeight="1">
      <c r="A7" s="47"/>
      <c r="B7" s="40"/>
      <c r="D7" s="213" t="s">
        <v>84</v>
      </c>
      <c r="E7" s="213"/>
      <c r="F7" s="213"/>
      <c r="G7" s="213"/>
      <c r="H7" s="213"/>
      <c r="I7" s="213"/>
      <c r="J7" s="213"/>
    </row>
    <row r="8" spans="1:10" ht="15">
      <c r="A8" s="15"/>
      <c r="B8" s="29"/>
      <c r="D8" s="213"/>
      <c r="E8" s="213"/>
      <c r="F8" s="213"/>
      <c r="G8" s="213"/>
      <c r="H8" s="213"/>
      <c r="I8" s="213"/>
      <c r="J8" s="213"/>
    </row>
    <row r="9" spans="1:10" ht="30.75" customHeight="1">
      <c r="A9" s="15"/>
      <c r="B9" s="3"/>
      <c r="D9" s="213"/>
      <c r="E9" s="213"/>
      <c r="F9" s="213"/>
      <c r="G9" s="213"/>
      <c r="H9" s="213"/>
      <c r="I9" s="213"/>
      <c r="J9" s="213"/>
    </row>
    <row r="10" spans="1:3" ht="15" customHeight="1">
      <c r="A10" s="7"/>
      <c r="C10" s="40"/>
    </row>
    <row r="11" spans="3:9" ht="15">
      <c r="C11" s="40"/>
      <c r="E11" s="196" t="s">
        <v>184</v>
      </c>
      <c r="F11" s="235"/>
      <c r="G11" s="235"/>
      <c r="H11" s="235"/>
      <c r="I11" s="197"/>
    </row>
    <row r="12" spans="3:9" ht="15">
      <c r="C12" s="40"/>
      <c r="E12" s="248" t="s">
        <v>258</v>
      </c>
      <c r="F12" s="249"/>
      <c r="G12" s="249"/>
      <c r="H12" s="249"/>
      <c r="I12" s="250"/>
    </row>
    <row r="22" spans="4:8" ht="15">
      <c r="D22" s="54"/>
      <c r="E22" s="54"/>
      <c r="F22" s="54"/>
      <c r="G22" s="54"/>
      <c r="H22" s="54"/>
    </row>
    <row r="23" spans="4:8" ht="15">
      <c r="D23" s="54"/>
      <c r="E23" s="54"/>
      <c r="F23" s="54"/>
      <c r="G23" s="54"/>
      <c r="H23" s="54"/>
    </row>
    <row r="24" spans="4:8" ht="15">
      <c r="D24" s="54"/>
      <c r="E24" s="54"/>
      <c r="F24" s="54"/>
      <c r="G24" s="54"/>
      <c r="H24" s="54"/>
    </row>
    <row r="25" spans="2:3" ht="15" customHeight="1">
      <c r="B25" s="54"/>
      <c r="C25" s="54"/>
    </row>
    <row r="26" spans="2:3" ht="15">
      <c r="B26" s="54"/>
      <c r="C26" s="54"/>
    </row>
    <row r="27" ht="15">
      <c r="C27" s="54"/>
    </row>
  </sheetData>
  <sheetProtection/>
  <mergeCells count="10">
    <mergeCell ref="E12:I12"/>
    <mergeCell ref="E11:I11"/>
    <mergeCell ref="F5:I5"/>
    <mergeCell ref="D7:J9"/>
    <mergeCell ref="A1:B1"/>
    <mergeCell ref="A2:B2"/>
    <mergeCell ref="A3:B3"/>
    <mergeCell ref="E3:J3"/>
    <mergeCell ref="F4:I4"/>
    <mergeCell ref="F6:I6"/>
  </mergeCells>
  <hyperlinks>
    <hyperlink ref="B6" location="'Rebate Areas'!A1" display="Rebate Home"/>
    <hyperlink ref="B5" r:id="rId1" display="Custom Incentives"/>
    <hyperlink ref="J4" r:id="rId2" display="Questionaire"/>
    <hyperlink ref="D7:J9" r:id="rId3" display="Custom Incentives"/>
    <hyperlink ref="J6" r:id="rId4" display="Example"/>
  </hyperlinks>
  <printOptions/>
  <pageMargins left="0.7" right="0.7" top="0.75" bottom="0.75" header="0.3" footer="0.3"/>
  <pageSetup fitToHeight="1" fitToWidth="1" horizontalDpi="600" verticalDpi="600" orientation="landscape" scale="85" r:id="rId5"/>
  <headerFooter>
    <oddHeader>&amp;LProgress Energy Rebate Form&amp;RUniversity of Florida</oddHeader>
  </headerFooter>
</worksheet>
</file>

<file path=xl/worksheets/sheet17.xml><?xml version="1.0" encoding="utf-8"?>
<worksheet xmlns="http://schemas.openxmlformats.org/spreadsheetml/2006/main" xmlns:r="http://schemas.openxmlformats.org/officeDocument/2006/relationships">
  <sheetPr>
    <tabColor theme="7"/>
  </sheetPr>
  <dimension ref="A1:K43"/>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N6" sqref="N6"/>
    </sheetView>
  </sheetViews>
  <sheetFormatPr defaultColWidth="9.140625" defaultRowHeight="15"/>
  <cols>
    <col min="1" max="1" width="2.421875" style="0" customWidth="1"/>
    <col min="2" max="2" width="3.00390625" style="167" customWidth="1"/>
    <col min="3" max="3" width="73.28125" style="0" customWidth="1"/>
    <col min="4" max="4" width="4.00390625" style="6" customWidth="1"/>
    <col min="5" max="9" width="3.7109375" style="6" bestFit="1" customWidth="1"/>
    <col min="10" max="10" width="4.00390625" style="6" customWidth="1"/>
    <col min="11" max="11" width="4.7109375" style="6" customWidth="1"/>
  </cols>
  <sheetData>
    <row r="1" spans="2:11" s="168" customFormat="1" ht="210">
      <c r="B1" s="169"/>
      <c r="D1" s="170" t="s">
        <v>264</v>
      </c>
      <c r="E1" s="170" t="s">
        <v>265</v>
      </c>
      <c r="F1" s="170" t="s">
        <v>266</v>
      </c>
      <c r="G1" s="170" t="s">
        <v>267</v>
      </c>
      <c r="H1" s="170" t="s">
        <v>284</v>
      </c>
      <c r="I1" s="170" t="s">
        <v>268</v>
      </c>
      <c r="J1" s="170" t="s">
        <v>285</v>
      </c>
      <c r="K1" s="170" t="s">
        <v>286</v>
      </c>
    </row>
    <row r="2" spans="1:11" ht="15.75" thickBot="1">
      <c r="A2" s="259" t="s">
        <v>269</v>
      </c>
      <c r="B2" s="260"/>
      <c r="C2" s="259"/>
      <c r="D2" s="261" t="s">
        <v>263</v>
      </c>
      <c r="E2" s="261"/>
      <c r="F2" s="261"/>
      <c r="G2" s="261"/>
      <c r="H2" s="261"/>
      <c r="I2" s="261"/>
      <c r="J2" s="261"/>
      <c r="K2" s="261"/>
    </row>
    <row r="3" spans="1:8" ht="15.75" thickTop="1">
      <c r="A3" s="258" t="s">
        <v>279</v>
      </c>
      <c r="B3" s="171" t="s">
        <v>6</v>
      </c>
      <c r="D3" s="6" t="s">
        <v>270</v>
      </c>
      <c r="F3" s="6" t="s">
        <v>270</v>
      </c>
      <c r="G3" s="6" t="s">
        <v>270</v>
      </c>
      <c r="H3" s="6" t="s">
        <v>270</v>
      </c>
    </row>
    <row r="4" spans="1:3" ht="15">
      <c r="A4" s="253"/>
      <c r="C4" t="s">
        <v>281</v>
      </c>
    </row>
    <row r="5" ht="7.5" customHeight="1">
      <c r="A5" s="253"/>
    </row>
    <row r="6" spans="1:8" ht="15">
      <c r="A6" s="253"/>
      <c r="B6" s="171" t="s">
        <v>7</v>
      </c>
      <c r="D6" s="6" t="s">
        <v>270</v>
      </c>
      <c r="E6" s="6" t="s">
        <v>270</v>
      </c>
      <c r="F6" s="6" t="s">
        <v>270</v>
      </c>
      <c r="G6" s="6" t="s">
        <v>270</v>
      </c>
      <c r="H6" s="6" t="s">
        <v>270</v>
      </c>
    </row>
    <row r="7" spans="1:3" ht="15">
      <c r="A7" s="253"/>
      <c r="C7" t="s">
        <v>271</v>
      </c>
    </row>
    <row r="8" ht="7.5" customHeight="1">
      <c r="A8" s="253"/>
    </row>
    <row r="9" spans="1:8" ht="15">
      <c r="A9" s="253"/>
      <c r="B9" s="171" t="s">
        <v>3</v>
      </c>
      <c r="D9" s="6" t="s">
        <v>270</v>
      </c>
      <c r="F9" s="6" t="s">
        <v>270</v>
      </c>
      <c r="H9" s="6" t="s">
        <v>270</v>
      </c>
    </row>
    <row r="10" spans="1:3" ht="15">
      <c r="A10" s="253"/>
      <c r="C10" t="s">
        <v>280</v>
      </c>
    </row>
    <row r="11" ht="8.25" customHeight="1">
      <c r="A11" s="253"/>
    </row>
    <row r="12" spans="1:9" ht="15">
      <c r="A12" s="253"/>
      <c r="B12" s="171" t="s">
        <v>5</v>
      </c>
      <c r="E12" s="6" t="s">
        <v>270</v>
      </c>
      <c r="F12" s="6" t="s">
        <v>270</v>
      </c>
      <c r="I12" s="6" t="s">
        <v>270</v>
      </c>
    </row>
    <row r="13" spans="1:3" ht="15">
      <c r="A13" s="253"/>
      <c r="C13" t="s">
        <v>272</v>
      </c>
    </row>
    <row r="14" ht="9" customHeight="1">
      <c r="A14" s="253"/>
    </row>
    <row r="15" spans="1:6" ht="15">
      <c r="A15" s="253"/>
      <c r="B15" s="171" t="s">
        <v>20</v>
      </c>
      <c r="E15" s="6" t="s">
        <v>270</v>
      </c>
      <c r="F15" s="6" t="s">
        <v>270</v>
      </c>
    </row>
    <row r="16" spans="1:3" ht="15">
      <c r="A16" s="253"/>
      <c r="C16" t="s">
        <v>273</v>
      </c>
    </row>
    <row r="17" ht="9" customHeight="1">
      <c r="A17" s="253"/>
    </row>
    <row r="18" spans="1:6" ht="15">
      <c r="A18" s="253"/>
      <c r="B18" s="171" t="s">
        <v>61</v>
      </c>
      <c r="D18" s="6" t="s">
        <v>270</v>
      </c>
      <c r="E18" s="6" t="s">
        <v>270</v>
      </c>
      <c r="F18" s="6" t="s">
        <v>270</v>
      </c>
    </row>
    <row r="19" spans="1:3" ht="15">
      <c r="A19" s="253"/>
      <c r="C19" t="s">
        <v>301</v>
      </c>
    </row>
    <row r="20" ht="6" customHeight="1">
      <c r="A20" s="253"/>
    </row>
    <row r="21" spans="1:6" ht="15">
      <c r="A21" s="253"/>
      <c r="B21" s="171" t="s">
        <v>60</v>
      </c>
      <c r="E21" s="6" t="s">
        <v>270</v>
      </c>
      <c r="F21" s="6" t="s">
        <v>270</v>
      </c>
    </row>
    <row r="22" spans="1:3" ht="15">
      <c r="A22" s="253"/>
      <c r="C22" t="s">
        <v>282</v>
      </c>
    </row>
    <row r="23" ht="8.25" customHeight="1">
      <c r="A23" s="253"/>
    </row>
    <row r="24" spans="1:6" ht="15">
      <c r="A24" s="253"/>
      <c r="B24" s="171" t="s">
        <v>243</v>
      </c>
      <c r="E24" s="6" t="s">
        <v>270</v>
      </c>
      <c r="F24" s="6" t="s">
        <v>270</v>
      </c>
    </row>
    <row r="25" spans="1:3" ht="15">
      <c r="A25" s="253"/>
      <c r="C25" t="s">
        <v>274</v>
      </c>
    </row>
    <row r="26" ht="7.5" customHeight="1">
      <c r="A26" s="253"/>
    </row>
    <row r="27" spans="1:6" ht="15">
      <c r="A27" s="253"/>
      <c r="B27" s="171" t="s">
        <v>62</v>
      </c>
      <c r="E27" s="6" t="s">
        <v>270</v>
      </c>
      <c r="F27" s="6" t="s">
        <v>270</v>
      </c>
    </row>
    <row r="28" spans="1:3" ht="15">
      <c r="A28" s="253"/>
      <c r="C28" t="s">
        <v>275</v>
      </c>
    </row>
    <row r="29" ht="23.25" customHeight="1">
      <c r="J29" s="172"/>
    </row>
    <row r="30" spans="1:10" ht="15">
      <c r="A30" s="252" t="s">
        <v>278</v>
      </c>
      <c r="B30" s="171" t="s">
        <v>65</v>
      </c>
      <c r="F30" s="6" t="s">
        <v>270</v>
      </c>
      <c r="J30" s="6" t="s">
        <v>270</v>
      </c>
    </row>
    <row r="31" spans="1:3" ht="15">
      <c r="A31" s="252"/>
      <c r="C31" t="s">
        <v>276</v>
      </c>
    </row>
    <row r="32" ht="9" customHeight="1">
      <c r="A32" s="252"/>
    </row>
    <row r="33" spans="1:6" ht="15">
      <c r="A33" s="252"/>
      <c r="B33" s="171" t="s">
        <v>188</v>
      </c>
      <c r="F33" s="6" t="s">
        <v>270</v>
      </c>
    </row>
    <row r="34" spans="1:3" ht="15">
      <c r="A34" s="252"/>
      <c r="B34" s="173"/>
      <c r="C34" t="s">
        <v>283</v>
      </c>
    </row>
    <row r="35" ht="9" customHeight="1">
      <c r="A35" s="252"/>
    </row>
    <row r="36" spans="1:11" ht="15">
      <c r="A36" s="252"/>
      <c r="B36" s="171" t="s">
        <v>63</v>
      </c>
      <c r="F36" s="6" t="s">
        <v>270</v>
      </c>
      <c r="K36" s="6" t="s">
        <v>270</v>
      </c>
    </row>
    <row r="37" spans="1:3" ht="15">
      <c r="A37" s="252"/>
      <c r="C37" t="s">
        <v>277</v>
      </c>
    </row>
    <row r="38" ht="7.5" customHeight="1">
      <c r="A38" s="252"/>
    </row>
    <row r="39" spans="1:11" ht="15">
      <c r="A39" s="252"/>
      <c r="B39" s="171" t="s">
        <v>64</v>
      </c>
      <c r="F39" s="6" t="s">
        <v>270</v>
      </c>
      <c r="J39" s="6" t="s">
        <v>270</v>
      </c>
      <c r="K39" s="6" t="s">
        <v>270</v>
      </c>
    </row>
    <row r="40" spans="1:3" ht="15">
      <c r="A40" s="252"/>
      <c r="C40" t="s">
        <v>277</v>
      </c>
    </row>
    <row r="41" ht="9" customHeight="1">
      <c r="A41" s="252"/>
    </row>
    <row r="42" spans="1:11" ht="15">
      <c r="A42" s="252"/>
      <c r="B42" s="171" t="s">
        <v>8</v>
      </c>
      <c r="F42" s="6" t="s">
        <v>270</v>
      </c>
      <c r="K42" s="6" t="s">
        <v>270</v>
      </c>
    </row>
    <row r="43" spans="1:3" ht="15">
      <c r="A43" s="252"/>
      <c r="C43" t="s">
        <v>277</v>
      </c>
    </row>
    <row r="44" ht="6.75" customHeight="1"/>
  </sheetData>
  <sheetProtection/>
  <mergeCells count="3">
    <mergeCell ref="A30:A43"/>
    <mergeCell ref="A3:A28"/>
    <mergeCell ref="D2:K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pageSetUpPr fitToPage="1"/>
  </sheetPr>
  <dimension ref="A1:O27"/>
  <sheetViews>
    <sheetView zoomScalePageLayoutView="0" workbookViewId="0" topLeftCell="A1">
      <selection activeCell="B15" sqref="B15"/>
    </sheetView>
  </sheetViews>
  <sheetFormatPr defaultColWidth="9.140625" defaultRowHeight="15"/>
  <cols>
    <col min="1" max="1" width="3.421875" style="0" customWidth="1"/>
    <col min="2" max="2" width="56.8515625" style="0" customWidth="1"/>
    <col min="4" max="4" width="3.140625" style="0" customWidth="1"/>
    <col min="7" max="7" width="9.7109375" style="0" bestFit="1" customWidth="1"/>
    <col min="9" max="9" width="10.7109375" style="0" bestFit="1" customWidth="1"/>
  </cols>
  <sheetData>
    <row r="1" spans="1:10" ht="23.25">
      <c r="A1" s="198" t="s">
        <v>6</v>
      </c>
      <c r="B1" s="198"/>
      <c r="C1" s="41"/>
      <c r="D1" s="41"/>
      <c r="E1" s="41"/>
      <c r="F1" s="41"/>
      <c r="G1" s="41"/>
      <c r="H1" s="41" t="s">
        <v>42</v>
      </c>
      <c r="I1" s="42">
        <v>42670</v>
      </c>
      <c r="J1" s="41"/>
    </row>
    <row r="2" spans="1:9" s="40" customFormat="1" ht="11.25" customHeight="1">
      <c r="A2" s="44"/>
      <c r="B2" s="44"/>
      <c r="I2" s="45"/>
    </row>
    <row r="3" spans="1:10" ht="15">
      <c r="A3" s="199" t="s">
        <v>44</v>
      </c>
      <c r="B3" s="199"/>
      <c r="E3" s="202" t="s">
        <v>46</v>
      </c>
      <c r="F3" s="202"/>
      <c r="G3" s="202"/>
      <c r="H3" s="202"/>
      <c r="I3" s="202"/>
      <c r="J3" s="202"/>
    </row>
    <row r="4" spans="1:10" s="40" customFormat="1" ht="30">
      <c r="A4" s="12">
        <v>1</v>
      </c>
      <c r="B4" s="65" t="s">
        <v>67</v>
      </c>
      <c r="D4" s="28">
        <v>1</v>
      </c>
      <c r="E4" s="23"/>
      <c r="F4" s="203" t="s">
        <v>70</v>
      </c>
      <c r="G4" s="203"/>
      <c r="H4" s="203"/>
      <c r="I4" s="203"/>
      <c r="J4" s="13"/>
    </row>
    <row r="5" spans="1:10" ht="31.5" customHeight="1">
      <c r="A5" s="12">
        <v>2</v>
      </c>
      <c r="B5" s="60" t="s">
        <v>16</v>
      </c>
      <c r="D5" s="12">
        <v>3</v>
      </c>
      <c r="E5" s="23"/>
      <c r="F5" s="201" t="s">
        <v>71</v>
      </c>
      <c r="G5" s="201"/>
      <c r="H5" s="201"/>
      <c r="I5" s="201"/>
      <c r="J5" s="57" t="s">
        <v>43</v>
      </c>
    </row>
    <row r="6" spans="1:10" ht="30">
      <c r="A6" s="12">
        <v>3</v>
      </c>
      <c r="B6" s="61" t="s">
        <v>17</v>
      </c>
      <c r="D6" s="12">
        <v>6</v>
      </c>
      <c r="E6" s="23"/>
      <c r="F6" s="200" t="s">
        <v>73</v>
      </c>
      <c r="G6" s="200"/>
      <c r="H6" s="200"/>
      <c r="I6" s="200"/>
      <c r="J6" s="31"/>
    </row>
    <row r="7" spans="1:10" ht="45">
      <c r="A7" s="12">
        <v>4</v>
      </c>
      <c r="B7" s="61" t="s">
        <v>18</v>
      </c>
      <c r="D7" s="12">
        <v>7</v>
      </c>
      <c r="E7" s="23"/>
      <c r="F7" s="200" t="s">
        <v>72</v>
      </c>
      <c r="G7" s="200"/>
      <c r="H7" s="200"/>
      <c r="I7" s="200"/>
      <c r="J7" s="57" t="s">
        <v>43</v>
      </c>
    </row>
    <row r="8" spans="1:10" ht="15" customHeight="1">
      <c r="A8" s="12">
        <v>5</v>
      </c>
      <c r="B8" s="60" t="s">
        <v>19</v>
      </c>
      <c r="D8" s="28">
        <v>8</v>
      </c>
      <c r="E8" s="55"/>
      <c r="F8" s="200" t="s">
        <v>74</v>
      </c>
      <c r="G8" s="200"/>
      <c r="H8" s="200"/>
      <c r="I8" s="200"/>
      <c r="J8" s="57" t="s">
        <v>43</v>
      </c>
    </row>
    <row r="9" spans="1:13" ht="30" customHeight="1">
      <c r="A9" s="12">
        <v>6</v>
      </c>
      <c r="B9" s="56" t="s">
        <v>41</v>
      </c>
      <c r="D9" s="185" t="s">
        <v>223</v>
      </c>
      <c r="E9" s="186"/>
      <c r="F9" s="186"/>
      <c r="G9" s="186"/>
      <c r="H9" s="186"/>
      <c r="I9" s="186"/>
      <c r="J9" s="187"/>
      <c r="M9" s="66"/>
    </row>
    <row r="10" spans="1:10" ht="30">
      <c r="A10" s="27">
        <v>7</v>
      </c>
      <c r="B10" s="61" t="s">
        <v>68</v>
      </c>
      <c r="D10" s="188"/>
      <c r="E10" s="189"/>
      <c r="F10" s="189"/>
      <c r="G10" s="189"/>
      <c r="H10" s="189"/>
      <c r="I10" s="189"/>
      <c r="J10" s="190"/>
    </row>
    <row r="11" spans="1:10" ht="15" customHeight="1">
      <c r="A11" s="27">
        <v>8</v>
      </c>
      <c r="B11" s="61" t="s">
        <v>69</v>
      </c>
      <c r="D11" s="191"/>
      <c r="E11" s="192"/>
      <c r="F11" s="192"/>
      <c r="G11" s="192"/>
      <c r="H11" s="192"/>
      <c r="I11" s="192"/>
      <c r="J11" s="193"/>
    </row>
    <row r="12" spans="1:2" ht="32.25" customHeight="1">
      <c r="A12" s="27">
        <v>9</v>
      </c>
      <c r="B12" s="56" t="s">
        <v>55</v>
      </c>
    </row>
    <row r="13" spans="1:15" ht="32.25" customHeight="1">
      <c r="A13" s="27">
        <v>10</v>
      </c>
      <c r="B13" s="43" t="s">
        <v>300</v>
      </c>
      <c r="E13" s="196" t="s">
        <v>184</v>
      </c>
      <c r="F13" s="197"/>
      <c r="G13" s="23" t="s">
        <v>183</v>
      </c>
      <c r="H13" s="23" t="s">
        <v>181</v>
      </c>
      <c r="O13" s="66"/>
    </row>
    <row r="14" spans="2:8" ht="32.25" customHeight="1">
      <c r="B14" s="8" t="s">
        <v>29</v>
      </c>
      <c r="E14" s="196" t="s">
        <v>288</v>
      </c>
      <c r="F14" s="197"/>
      <c r="G14" s="117">
        <v>0.1</v>
      </c>
      <c r="H14" s="23" t="s">
        <v>182</v>
      </c>
    </row>
    <row r="15" spans="2:8" ht="32.25" customHeight="1">
      <c r="B15" s="3"/>
      <c r="E15" s="196" t="s">
        <v>289</v>
      </c>
      <c r="F15" s="197"/>
      <c r="G15" s="254">
        <v>0.175</v>
      </c>
      <c r="H15" s="23" t="s">
        <v>182</v>
      </c>
    </row>
    <row r="16" ht="15">
      <c r="G16" s="118"/>
    </row>
    <row r="17" spans="2:6" ht="15">
      <c r="B17" s="194" t="s">
        <v>217</v>
      </c>
      <c r="C17" s="194"/>
      <c r="D17" s="23"/>
      <c r="E17" s="29"/>
      <c r="F17" s="29"/>
    </row>
    <row r="18" spans="2:6" ht="15">
      <c r="B18" s="143" t="s">
        <v>224</v>
      </c>
      <c r="C18" s="144" t="s">
        <v>225</v>
      </c>
      <c r="D18" s="145"/>
      <c r="E18" s="29"/>
      <c r="F18" s="29"/>
    </row>
    <row r="19" spans="2:6" ht="15.75" thickBot="1">
      <c r="B19" s="148" t="s">
        <v>226</v>
      </c>
      <c r="C19" s="149"/>
      <c r="D19" s="148" t="s">
        <v>182</v>
      </c>
      <c r="E19" s="29"/>
      <c r="F19" s="29"/>
    </row>
    <row r="20" spans="2:4" ht="15.75" thickTop="1">
      <c r="B20" s="147" t="s">
        <v>222</v>
      </c>
      <c r="C20" s="195">
        <f>IF(AND(1&lt;D18,D18&lt;18.9),C19*G14,IF(D18&gt;=19,C19*G15,""))</f>
      </c>
      <c r="D20" s="195"/>
    </row>
    <row r="27" ht="15">
      <c r="B27" s="3"/>
    </row>
  </sheetData>
  <sheetProtection/>
  <mergeCells count="14">
    <mergeCell ref="A1:B1"/>
    <mergeCell ref="A3:B3"/>
    <mergeCell ref="F7:I7"/>
    <mergeCell ref="F6:I6"/>
    <mergeCell ref="F5:I5"/>
    <mergeCell ref="F8:I8"/>
    <mergeCell ref="E3:J3"/>
    <mergeCell ref="F4:I4"/>
    <mergeCell ref="D9:J11"/>
    <mergeCell ref="B17:C17"/>
    <mergeCell ref="C20:D20"/>
    <mergeCell ref="E13:F13"/>
    <mergeCell ref="E14:F14"/>
    <mergeCell ref="E15:F15"/>
  </mergeCells>
  <hyperlinks>
    <hyperlink ref="B14" location="'Rebate Areas'!A1" display="Rebate Home"/>
    <hyperlink ref="J7" r:id="rId1" display="Example"/>
    <hyperlink ref="J8" r:id="rId2" display="Example"/>
    <hyperlink ref="J5" r:id="rId3" display="Example"/>
    <hyperlink ref="D9:J11" r:id="rId4" display="Ceiling Insulation"/>
  </hyperlinks>
  <printOptions/>
  <pageMargins left="0.7" right="0.7" top="0.75" bottom="0.75" header="0.3" footer="0.3"/>
  <pageSetup fitToHeight="1" fitToWidth="1" horizontalDpi="600" verticalDpi="600" orientation="landscape" scale="95" r:id="rId5"/>
  <headerFooter>
    <oddHeader>&amp;LProgress Energy Rebate Form&amp;RUniversity of Florida</oddHeader>
  </headerFooter>
</worksheet>
</file>

<file path=xl/worksheets/sheet3.xml><?xml version="1.0" encoding="utf-8"?>
<worksheet xmlns="http://schemas.openxmlformats.org/spreadsheetml/2006/main" xmlns:r="http://schemas.openxmlformats.org/officeDocument/2006/relationships">
  <sheetPr>
    <tabColor theme="9"/>
    <pageSetUpPr fitToPage="1"/>
  </sheetPr>
  <dimension ref="A1:K21"/>
  <sheetViews>
    <sheetView zoomScalePageLayoutView="0" workbookViewId="0" topLeftCell="A1">
      <selection activeCell="B6" sqref="B6"/>
    </sheetView>
  </sheetViews>
  <sheetFormatPr defaultColWidth="9.140625" defaultRowHeight="15"/>
  <cols>
    <col min="1" max="1" width="3.421875" style="0" customWidth="1"/>
    <col min="2" max="2" width="75.7109375" style="0" customWidth="1"/>
    <col min="3" max="3" width="17.57421875" style="0" customWidth="1"/>
    <col min="4" max="4" width="4.421875" style="0" customWidth="1"/>
    <col min="9" max="9" width="11.00390625" style="0" customWidth="1"/>
  </cols>
  <sheetData>
    <row r="1" spans="1:10" ht="18.75" customHeight="1">
      <c r="A1" s="198" t="s">
        <v>7</v>
      </c>
      <c r="B1" s="198"/>
      <c r="C1" s="41"/>
      <c r="D1" s="46"/>
      <c r="E1" s="41"/>
      <c r="F1" s="41"/>
      <c r="G1" s="41"/>
      <c r="H1" s="41" t="s">
        <v>42</v>
      </c>
      <c r="I1" s="42">
        <f>'HVAC Tune'!I1</f>
        <v>42670</v>
      </c>
      <c r="J1" s="41"/>
    </row>
    <row r="2" spans="1:4" ht="14.25" customHeight="1">
      <c r="A2" s="209"/>
      <c r="B2" s="209"/>
      <c r="D2" s="7"/>
    </row>
    <row r="3" spans="1:10" ht="15">
      <c r="A3" s="199" t="s">
        <v>31</v>
      </c>
      <c r="B3" s="199"/>
      <c r="D3" s="7"/>
      <c r="E3" s="202" t="s">
        <v>46</v>
      </c>
      <c r="F3" s="202"/>
      <c r="G3" s="202"/>
      <c r="H3" s="202"/>
      <c r="I3" s="202"/>
      <c r="J3" s="202"/>
    </row>
    <row r="4" spans="1:10" ht="36" customHeight="1">
      <c r="A4" s="12">
        <v>1</v>
      </c>
      <c r="B4" s="70" t="s">
        <v>155</v>
      </c>
      <c r="D4" s="28">
        <v>1</v>
      </c>
      <c r="E4" s="72"/>
      <c r="F4" s="201" t="s">
        <v>160</v>
      </c>
      <c r="G4" s="201"/>
      <c r="H4" s="201"/>
      <c r="I4" s="201"/>
      <c r="J4" s="72"/>
    </row>
    <row r="5" spans="1:10" ht="30" customHeight="1">
      <c r="A5" s="12">
        <v>2</v>
      </c>
      <c r="B5" s="70" t="s">
        <v>11</v>
      </c>
      <c r="D5" s="28">
        <v>2</v>
      </c>
      <c r="E5" s="72"/>
      <c r="F5" s="201" t="s">
        <v>161</v>
      </c>
      <c r="G5" s="201"/>
      <c r="H5" s="201"/>
      <c r="I5" s="201"/>
      <c r="J5" s="80" t="s">
        <v>43</v>
      </c>
    </row>
    <row r="6" spans="1:10" ht="30">
      <c r="A6" s="12">
        <v>3</v>
      </c>
      <c r="B6" s="70" t="s">
        <v>156</v>
      </c>
      <c r="D6" s="28">
        <v>3</v>
      </c>
      <c r="E6" s="72"/>
      <c r="F6" s="244" t="s">
        <v>24</v>
      </c>
      <c r="G6" s="244"/>
      <c r="H6" s="244"/>
      <c r="I6" s="244"/>
      <c r="J6" s="80" t="s">
        <v>43</v>
      </c>
    </row>
    <row r="7" spans="1:10" ht="30">
      <c r="A7" s="12">
        <v>4</v>
      </c>
      <c r="B7" s="70" t="s">
        <v>157</v>
      </c>
      <c r="D7" s="28">
        <v>4</v>
      </c>
      <c r="E7" s="72"/>
      <c r="F7" s="244" t="s">
        <v>25</v>
      </c>
      <c r="G7" s="244"/>
      <c r="H7" s="244"/>
      <c r="I7" s="244"/>
      <c r="J7" s="80" t="s">
        <v>43</v>
      </c>
    </row>
    <row r="8" spans="1:10" ht="30" customHeight="1">
      <c r="A8" s="12">
        <v>5</v>
      </c>
      <c r="B8" s="70" t="s">
        <v>158</v>
      </c>
      <c r="D8" s="28">
        <v>5</v>
      </c>
      <c r="E8" s="72"/>
      <c r="F8" s="200" t="s">
        <v>26</v>
      </c>
      <c r="G8" s="200"/>
      <c r="H8" s="200"/>
      <c r="I8" s="200"/>
      <c r="J8" s="80" t="s">
        <v>43</v>
      </c>
    </row>
    <row r="9" spans="1:10" ht="15">
      <c r="A9" s="12">
        <v>6</v>
      </c>
      <c r="B9" s="70" t="s">
        <v>159</v>
      </c>
      <c r="D9" s="28">
        <v>6</v>
      </c>
      <c r="E9" s="72"/>
      <c r="F9" s="201" t="s">
        <v>162</v>
      </c>
      <c r="G9" s="201"/>
      <c r="H9" s="201"/>
      <c r="I9" s="201"/>
      <c r="J9" s="80" t="s">
        <v>43</v>
      </c>
    </row>
    <row r="10" spans="1:10" ht="15">
      <c r="A10" s="12">
        <v>7</v>
      </c>
      <c r="B10" s="40"/>
      <c r="D10" s="28">
        <v>7</v>
      </c>
      <c r="E10" s="72"/>
      <c r="F10" s="90"/>
      <c r="G10" s="91"/>
      <c r="H10" s="91"/>
      <c r="I10" s="92"/>
      <c r="J10" s="55"/>
    </row>
    <row r="11" spans="2:10" ht="15">
      <c r="B11" s="86" t="s">
        <v>29</v>
      </c>
      <c r="D11" s="28">
        <v>8</v>
      </c>
      <c r="E11" s="72"/>
      <c r="F11" s="244"/>
      <c r="G11" s="244"/>
      <c r="H11" s="244"/>
      <c r="I11" s="244"/>
      <c r="J11" s="80"/>
    </row>
    <row r="12" spans="2:10" ht="19.5" customHeight="1">
      <c r="B12" s="40"/>
      <c r="C12" s="40"/>
      <c r="D12" s="185" t="s">
        <v>7</v>
      </c>
      <c r="E12" s="186"/>
      <c r="F12" s="186"/>
      <c r="G12" s="186"/>
      <c r="H12" s="186"/>
      <c r="I12" s="186"/>
      <c r="J12" s="187"/>
    </row>
    <row r="13" spans="3:10" ht="19.5" customHeight="1">
      <c r="C13" s="40"/>
      <c r="D13" s="188"/>
      <c r="E13" s="189"/>
      <c r="F13" s="189"/>
      <c r="G13" s="189"/>
      <c r="H13" s="189"/>
      <c r="I13" s="189"/>
      <c r="J13" s="190"/>
    </row>
    <row r="14" spans="3:10" ht="15">
      <c r="C14" s="40"/>
      <c r="D14" s="191"/>
      <c r="E14" s="192"/>
      <c r="F14" s="192"/>
      <c r="G14" s="192"/>
      <c r="H14" s="192"/>
      <c r="I14" s="192"/>
      <c r="J14" s="193"/>
    </row>
    <row r="16" spans="2:10" ht="15">
      <c r="B16" s="194" t="s">
        <v>217</v>
      </c>
      <c r="C16" s="194"/>
      <c r="D16" s="23"/>
      <c r="F16" s="196" t="s">
        <v>184</v>
      </c>
      <c r="G16" s="235"/>
      <c r="H16" s="197"/>
      <c r="I16" s="23" t="s">
        <v>183</v>
      </c>
      <c r="J16" s="23" t="s">
        <v>181</v>
      </c>
    </row>
    <row r="17" spans="2:10" ht="15">
      <c r="B17" s="143" t="s">
        <v>252</v>
      </c>
      <c r="C17" s="243"/>
      <c r="D17" s="243"/>
      <c r="F17" s="236" t="s">
        <v>213</v>
      </c>
      <c r="G17" s="237"/>
      <c r="H17" s="238"/>
      <c r="I17" s="126">
        <v>0.07</v>
      </c>
      <c r="J17" s="112" t="s">
        <v>215</v>
      </c>
    </row>
    <row r="18" spans="2:11" ht="15" customHeight="1">
      <c r="B18" s="23" t="s">
        <v>253</v>
      </c>
      <c r="C18" s="144" t="s">
        <v>225</v>
      </c>
      <c r="D18" s="141"/>
      <c r="F18" s="239" t="s">
        <v>214</v>
      </c>
      <c r="G18" s="240"/>
      <c r="H18" s="241"/>
      <c r="I18" s="125">
        <v>0.07</v>
      </c>
      <c r="J18" s="23" t="s">
        <v>215</v>
      </c>
      <c r="K18" s="139" t="s">
        <v>2</v>
      </c>
    </row>
    <row r="19" spans="2:11" ht="15">
      <c r="B19" s="23" t="s">
        <v>254</v>
      </c>
      <c r="C19" s="23"/>
      <c r="D19" s="23"/>
      <c r="K19" s="139" t="s">
        <v>1</v>
      </c>
    </row>
    <row r="20" spans="2:4" ht="15">
      <c r="B20" s="144" t="s">
        <v>255</v>
      </c>
      <c r="C20" s="141"/>
      <c r="D20" s="23" t="s">
        <v>182</v>
      </c>
    </row>
    <row r="21" spans="2:4" ht="15">
      <c r="B21" s="146" t="s">
        <v>240</v>
      </c>
      <c r="C21" s="165" t="str">
        <f>IF(AND(C17="New Construction",D18&gt;=38),C20*I17,IF(AND(C17="retrofit",D18&gt;=19),C20*I18,"No Rebate"))</f>
        <v>No Rebate</v>
      </c>
      <c r="D21" s="23"/>
    </row>
  </sheetData>
  <sheetProtection/>
  <mergeCells count="17">
    <mergeCell ref="F6:I6"/>
    <mergeCell ref="B16:C16"/>
    <mergeCell ref="F16:H16"/>
    <mergeCell ref="A3:B3"/>
    <mergeCell ref="A1:B1"/>
    <mergeCell ref="A2:B2"/>
    <mergeCell ref="E3:J3"/>
    <mergeCell ref="F4:I4"/>
    <mergeCell ref="F5:I5"/>
    <mergeCell ref="D12:J14"/>
    <mergeCell ref="F17:H17"/>
    <mergeCell ref="F18:H18"/>
    <mergeCell ref="C17:D17"/>
    <mergeCell ref="F7:I7"/>
    <mergeCell ref="F8:I8"/>
    <mergeCell ref="F9:I9"/>
    <mergeCell ref="F11:I11"/>
  </mergeCells>
  <dataValidations count="1">
    <dataValidation type="list" allowBlank="1" showInputMessage="1" showErrorMessage="1" sqref="C17">
      <formula1>$K$17:$K$19</formula1>
    </dataValidation>
  </dataValidations>
  <hyperlinks>
    <hyperlink ref="B11" location="'Rebate Areas'!A1" display="Rebate Home"/>
    <hyperlink ref="J6" r:id="rId1" display="Example"/>
    <hyperlink ref="J7" r:id="rId2" display="Example"/>
    <hyperlink ref="J5" r:id="rId3" display="Example"/>
    <hyperlink ref="J8" r:id="rId4" display="Example"/>
    <hyperlink ref="J9" r:id="rId5" display="Example"/>
    <hyperlink ref="D12:J14" r:id="rId6" display="Roof Insulation Upgrade"/>
  </hyperlinks>
  <printOptions/>
  <pageMargins left="0.7" right="0.7" top="0.75" bottom="0.75" header="0.3" footer="0.3"/>
  <pageSetup fitToHeight="1" fitToWidth="1" horizontalDpi="600" verticalDpi="600" orientation="landscape" scale="82" r:id="rId7"/>
  <headerFooter>
    <oddHeader>&amp;LProgress Energy Rebate Form&amp;RUniversity of Florida</oddHeader>
  </headerFooter>
</worksheet>
</file>

<file path=xl/worksheets/sheet4.xml><?xml version="1.0" encoding="utf-8"?>
<worksheet xmlns="http://schemas.openxmlformats.org/spreadsheetml/2006/main" xmlns:r="http://schemas.openxmlformats.org/officeDocument/2006/relationships">
  <sheetPr>
    <tabColor theme="9"/>
    <pageSetUpPr fitToPage="1"/>
  </sheetPr>
  <dimension ref="A1:K19"/>
  <sheetViews>
    <sheetView zoomScalePageLayoutView="0" workbookViewId="0" topLeftCell="A1">
      <selection activeCell="C18" sqref="C18"/>
    </sheetView>
  </sheetViews>
  <sheetFormatPr defaultColWidth="9.140625" defaultRowHeight="15"/>
  <cols>
    <col min="1" max="1" width="3.421875" style="0" customWidth="1"/>
    <col min="2" max="2" width="75.7109375" style="0" customWidth="1"/>
    <col min="3" max="3" width="22.28125" style="0" bestFit="1" customWidth="1"/>
    <col min="4" max="4" width="5.140625" style="0" customWidth="1"/>
    <col min="5" max="5" width="6.00390625" style="0" customWidth="1"/>
    <col min="9" max="9" width="9.7109375" style="0" bestFit="1" customWidth="1"/>
  </cols>
  <sheetData>
    <row r="1" spans="1:10" ht="18.75" customHeight="1">
      <c r="A1" s="198" t="s">
        <v>3</v>
      </c>
      <c r="B1" s="198"/>
      <c r="C1" s="41"/>
      <c r="D1" s="41"/>
      <c r="E1" s="41"/>
      <c r="F1" s="41"/>
      <c r="G1" s="41"/>
      <c r="H1" s="41" t="s">
        <v>42</v>
      </c>
      <c r="I1" s="42">
        <f>Ceiling!I1</f>
        <v>42670</v>
      </c>
      <c r="J1" s="41"/>
    </row>
    <row r="2" spans="1:2" ht="14.25" customHeight="1">
      <c r="A2" s="209"/>
      <c r="B2" s="209"/>
    </row>
    <row r="3" spans="1:10" ht="15">
      <c r="A3" s="199" t="s">
        <v>44</v>
      </c>
      <c r="B3" s="199"/>
      <c r="E3" s="202" t="s">
        <v>46</v>
      </c>
      <c r="F3" s="202"/>
      <c r="G3" s="202"/>
      <c r="H3" s="202"/>
      <c r="I3" s="202"/>
      <c r="J3" s="202"/>
    </row>
    <row r="4" spans="1:10" ht="30" customHeight="1">
      <c r="A4" s="12">
        <v>1</v>
      </c>
      <c r="B4" s="61" t="s">
        <v>75</v>
      </c>
      <c r="D4" s="12">
        <v>1</v>
      </c>
      <c r="E4" s="13"/>
      <c r="F4" s="203" t="s">
        <v>70</v>
      </c>
      <c r="G4" s="203"/>
      <c r="H4" s="203"/>
      <c r="I4" s="203"/>
      <c r="J4" s="55"/>
    </row>
    <row r="5" spans="1:10" ht="30">
      <c r="A5" s="12">
        <v>2</v>
      </c>
      <c r="B5" s="61" t="s">
        <v>76</v>
      </c>
      <c r="D5" s="12">
        <v>2</v>
      </c>
      <c r="E5" s="13"/>
      <c r="F5" s="200" t="s">
        <v>25</v>
      </c>
      <c r="G5" s="200"/>
      <c r="H5" s="200"/>
      <c r="I5" s="200"/>
      <c r="J5" s="68" t="s">
        <v>43</v>
      </c>
    </row>
    <row r="6" spans="1:10" ht="30" customHeight="1">
      <c r="A6" s="12">
        <v>3</v>
      </c>
      <c r="B6" s="61" t="s">
        <v>47</v>
      </c>
      <c r="D6" s="12">
        <v>3</v>
      </c>
      <c r="E6" s="13"/>
      <c r="F6" s="201" t="s">
        <v>71</v>
      </c>
      <c r="G6" s="201"/>
      <c r="H6" s="201"/>
      <c r="I6" s="201"/>
      <c r="J6" s="68" t="s">
        <v>43</v>
      </c>
    </row>
    <row r="7" spans="1:10" ht="15">
      <c r="A7" s="12">
        <v>4</v>
      </c>
      <c r="B7" s="61" t="s">
        <v>15</v>
      </c>
      <c r="D7" s="12">
        <v>4</v>
      </c>
      <c r="E7" s="13"/>
      <c r="F7" s="206" t="s">
        <v>78</v>
      </c>
      <c r="G7" s="207"/>
      <c r="H7" s="207"/>
      <c r="I7" s="208"/>
      <c r="J7" s="68" t="s">
        <v>43</v>
      </c>
    </row>
    <row r="8" spans="1:10" ht="15">
      <c r="A8" s="12">
        <v>5</v>
      </c>
      <c r="B8" s="61" t="s">
        <v>77</v>
      </c>
      <c r="D8" s="185" t="s">
        <v>3</v>
      </c>
      <c r="E8" s="186"/>
      <c r="F8" s="186"/>
      <c r="G8" s="186"/>
      <c r="H8" s="186"/>
      <c r="I8" s="186"/>
      <c r="J8" s="187"/>
    </row>
    <row r="9" spans="1:10" ht="15">
      <c r="A9" s="12">
        <v>6</v>
      </c>
      <c r="B9" s="55" t="s">
        <v>32</v>
      </c>
      <c r="D9" s="188"/>
      <c r="E9" s="189"/>
      <c r="F9" s="189"/>
      <c r="G9" s="189"/>
      <c r="H9" s="189"/>
      <c r="I9" s="189"/>
      <c r="J9" s="190"/>
    </row>
    <row r="10" spans="1:10" ht="15">
      <c r="A10" s="15"/>
      <c r="B10" s="40"/>
      <c r="D10" s="191"/>
      <c r="E10" s="192"/>
      <c r="F10" s="192"/>
      <c r="G10" s="192"/>
      <c r="H10" s="192"/>
      <c r="I10" s="192"/>
      <c r="J10" s="193"/>
    </row>
    <row r="11" spans="1:11" s="11" customFormat="1" ht="19.5" customHeight="1">
      <c r="A11" s="9" t="s">
        <v>48</v>
      </c>
      <c r="B11" s="67"/>
      <c r="C11"/>
      <c r="D11" s="67"/>
      <c r="E11" s="67"/>
      <c r="F11" s="67"/>
      <c r="G11" s="67"/>
      <c r="H11" s="67"/>
      <c r="I11" s="67"/>
      <c r="J11" s="67"/>
      <c r="K11"/>
    </row>
    <row r="12" spans="1:10" s="11" customFormat="1" ht="15">
      <c r="A12" s="12">
        <v>1</v>
      </c>
      <c r="B12" s="68" t="s">
        <v>49</v>
      </c>
      <c r="D12" s="67"/>
      <c r="E12" s="196" t="s">
        <v>184</v>
      </c>
      <c r="F12" s="197"/>
      <c r="G12" s="23" t="s">
        <v>183</v>
      </c>
      <c r="H12" s="23" t="s">
        <v>181</v>
      </c>
      <c r="I12" s="67"/>
      <c r="J12" s="67"/>
    </row>
    <row r="13" spans="1:10" s="11" customFormat="1" ht="15">
      <c r="A13" s="12"/>
      <c r="B13" s="67"/>
      <c r="D13" s="67"/>
      <c r="E13" s="67" t="s">
        <v>260</v>
      </c>
      <c r="F13" s="67"/>
      <c r="G13" s="119">
        <v>0.15</v>
      </c>
      <c r="H13" s="67" t="s">
        <v>182</v>
      </c>
      <c r="I13" s="67"/>
      <c r="J13" s="67"/>
    </row>
    <row r="14" spans="2:8" s="11" customFormat="1" ht="15">
      <c r="B14" s="69" t="s">
        <v>29</v>
      </c>
      <c r="E14"/>
      <c r="F14"/>
      <c r="G14" s="205"/>
      <c r="H14" s="205"/>
    </row>
    <row r="15" s="11" customFormat="1" ht="15"/>
    <row r="16" spans="2:4" s="11" customFormat="1" ht="19.5" customHeight="1">
      <c r="B16" s="194" t="s">
        <v>217</v>
      </c>
      <c r="C16" s="194"/>
      <c r="D16" s="23"/>
    </row>
    <row r="17" spans="2:10" s="11" customFormat="1" ht="19.5" customHeight="1">
      <c r="B17" s="143" t="s">
        <v>259</v>
      </c>
      <c r="C17" s="144" t="s">
        <v>261</v>
      </c>
      <c r="D17" s="150"/>
      <c r="E17"/>
      <c r="F17"/>
      <c r="G17"/>
      <c r="H17"/>
      <c r="I17"/>
      <c r="J17"/>
    </row>
    <row r="18" spans="1:11" ht="15.75" thickBot="1">
      <c r="A18" s="11"/>
      <c r="B18" s="148" t="s">
        <v>227</v>
      </c>
      <c r="C18" s="149"/>
      <c r="D18" s="148" t="s">
        <v>182</v>
      </c>
      <c r="K18" s="11"/>
    </row>
    <row r="19" spans="2:4" ht="15.75" thickTop="1">
      <c r="B19" s="147" t="s">
        <v>222</v>
      </c>
      <c r="C19" s="204" t="str">
        <f>IF(D17&gt;=0.76,C18*G13,"No Rebate")</f>
        <v>No Rebate</v>
      </c>
      <c r="D19" s="204"/>
    </row>
    <row r="21" ht="15" customHeight="1"/>
    <row r="22" ht="15" customHeight="1"/>
  </sheetData>
  <sheetProtection/>
  <mergeCells count="13">
    <mergeCell ref="A2:B2"/>
    <mergeCell ref="A3:B3"/>
    <mergeCell ref="A1:B1"/>
    <mergeCell ref="E3:J3"/>
    <mergeCell ref="F4:I4"/>
    <mergeCell ref="F6:I6"/>
    <mergeCell ref="B16:C16"/>
    <mergeCell ref="C19:D19"/>
    <mergeCell ref="E12:F12"/>
    <mergeCell ref="G14:H14"/>
    <mergeCell ref="D8:J10"/>
    <mergeCell ref="F5:I5"/>
    <mergeCell ref="F7:I7"/>
  </mergeCells>
  <hyperlinks>
    <hyperlink ref="B14" location="'Rebate Areas'!A1" display="Rebate Home"/>
    <hyperlink ref="B12" r:id="rId1" display="http://www.coolroofs.org/"/>
    <hyperlink ref="J6" r:id="rId2" display="Example"/>
    <hyperlink ref="J7" r:id="rId3" display="Example"/>
    <hyperlink ref="J5" r:id="rId4" display="Example"/>
    <hyperlink ref="D8:J10" r:id="rId5" display="Cool Roof"/>
  </hyperlinks>
  <printOptions/>
  <pageMargins left="0.7" right="0.7" top="0.75" bottom="0.75" header="0.3" footer="0.3"/>
  <pageSetup fitToHeight="1" fitToWidth="1" horizontalDpi="600" verticalDpi="600" orientation="landscape" scale="85" r:id="rId6"/>
  <headerFooter>
    <oddHeader>&amp;LProgress Energy Rebate Form&amp;RUniversity of Florida</oddHeader>
  </headerFooter>
</worksheet>
</file>

<file path=xl/worksheets/sheet5.xml><?xml version="1.0" encoding="utf-8"?>
<worksheet xmlns="http://schemas.openxmlformats.org/spreadsheetml/2006/main" xmlns:r="http://schemas.openxmlformats.org/officeDocument/2006/relationships">
  <sheetPr>
    <tabColor theme="9"/>
    <pageSetUpPr fitToPage="1"/>
  </sheetPr>
  <dimension ref="A1:K17"/>
  <sheetViews>
    <sheetView zoomScalePageLayoutView="0" workbookViewId="0" topLeftCell="A4">
      <selection activeCell="C14" sqref="C14"/>
    </sheetView>
  </sheetViews>
  <sheetFormatPr defaultColWidth="9.140625" defaultRowHeight="15"/>
  <cols>
    <col min="1" max="1" width="3.421875" style="0" customWidth="1"/>
    <col min="2" max="2" width="76.57421875" style="0" customWidth="1"/>
    <col min="4" max="4" width="2.8515625" style="7" customWidth="1"/>
    <col min="9" max="9" width="9.7109375" style="0" bestFit="1" customWidth="1"/>
  </cols>
  <sheetData>
    <row r="1" spans="1:10" ht="18.75" customHeight="1">
      <c r="A1" s="198" t="s">
        <v>5</v>
      </c>
      <c r="B1" s="198"/>
      <c r="C1" s="41"/>
      <c r="D1" s="46"/>
      <c r="E1" s="41"/>
      <c r="F1" s="41"/>
      <c r="G1" s="41"/>
      <c r="H1" s="41" t="s">
        <v>42</v>
      </c>
      <c r="I1" s="42">
        <f>'Cool Roof'!I1</f>
        <v>42670</v>
      </c>
      <c r="J1" s="41"/>
    </row>
    <row r="2" spans="1:2" ht="14.25" customHeight="1">
      <c r="A2" s="209"/>
      <c r="B2" s="209"/>
    </row>
    <row r="3" spans="1:10" ht="15">
      <c r="A3" s="199" t="s">
        <v>44</v>
      </c>
      <c r="B3" s="199"/>
      <c r="E3" s="202" t="s">
        <v>46</v>
      </c>
      <c r="F3" s="202"/>
      <c r="G3" s="202"/>
      <c r="H3" s="202"/>
      <c r="I3" s="202"/>
      <c r="J3" s="202"/>
    </row>
    <row r="4" spans="1:11" ht="45" customHeight="1">
      <c r="A4" s="12">
        <v>1</v>
      </c>
      <c r="B4" s="72" t="s">
        <v>50</v>
      </c>
      <c r="C4" s="40"/>
      <c r="D4" s="28">
        <v>1</v>
      </c>
      <c r="E4" s="55"/>
      <c r="F4" s="203" t="s">
        <v>287</v>
      </c>
      <c r="G4" s="203"/>
      <c r="H4" s="203"/>
      <c r="I4" s="203"/>
      <c r="J4" s="68" t="s">
        <v>43</v>
      </c>
      <c r="K4" s="40"/>
    </row>
    <row r="5" spans="1:11" ht="30" customHeight="1">
      <c r="A5" s="12">
        <v>2</v>
      </c>
      <c r="B5" s="62" t="s">
        <v>14</v>
      </c>
      <c r="C5" s="40"/>
      <c r="D5" s="28">
        <v>2</v>
      </c>
      <c r="E5" s="55"/>
      <c r="F5" s="210" t="s">
        <v>87</v>
      </c>
      <c r="G5" s="211"/>
      <c r="H5" s="211"/>
      <c r="I5" s="212"/>
      <c r="J5" s="68" t="s">
        <v>43</v>
      </c>
      <c r="K5" s="40"/>
    </row>
    <row r="6" spans="1:11" ht="45">
      <c r="A6" s="12">
        <v>3</v>
      </c>
      <c r="B6" s="62" t="s">
        <v>85</v>
      </c>
      <c r="C6" s="40"/>
      <c r="D6" s="28">
        <v>3</v>
      </c>
      <c r="E6" s="55"/>
      <c r="F6" s="210" t="s">
        <v>86</v>
      </c>
      <c r="G6" s="211"/>
      <c r="H6" s="211"/>
      <c r="I6" s="212"/>
      <c r="J6" s="80" t="s">
        <v>43</v>
      </c>
      <c r="K6" s="40"/>
    </row>
    <row r="7" spans="1:10" ht="39.75" customHeight="1">
      <c r="A7" s="12">
        <v>4</v>
      </c>
      <c r="B7" s="55" t="s">
        <v>56</v>
      </c>
      <c r="C7" s="40"/>
      <c r="D7" s="28">
        <v>4</v>
      </c>
      <c r="E7" s="55"/>
      <c r="F7" s="77"/>
      <c r="G7" s="78"/>
      <c r="H7" s="78"/>
      <c r="I7" s="78"/>
      <c r="J7" s="79"/>
    </row>
    <row r="8" spans="1:10" ht="15">
      <c r="A8" s="12">
        <v>5</v>
      </c>
      <c r="B8" s="55" t="s">
        <v>57</v>
      </c>
      <c r="C8" s="40"/>
      <c r="D8" s="28">
        <v>5</v>
      </c>
      <c r="E8" s="55"/>
      <c r="F8" s="74"/>
      <c r="G8" s="75"/>
      <c r="H8" s="75"/>
      <c r="I8" s="75"/>
      <c r="J8" s="76"/>
    </row>
    <row r="9" spans="1:11" ht="15">
      <c r="A9" s="12">
        <v>6</v>
      </c>
      <c r="B9" s="40"/>
      <c r="D9" s="213" t="s">
        <v>5</v>
      </c>
      <c r="E9" s="213"/>
      <c r="F9" s="213"/>
      <c r="G9" s="213"/>
      <c r="H9" s="213"/>
      <c r="I9" s="213"/>
      <c r="J9" s="213"/>
      <c r="K9" s="40"/>
    </row>
    <row r="10" spans="1:11" ht="15">
      <c r="A10" s="12">
        <v>7</v>
      </c>
      <c r="B10" s="73" t="s">
        <v>29</v>
      </c>
      <c r="D10" s="213"/>
      <c r="E10" s="213"/>
      <c r="F10" s="213"/>
      <c r="G10" s="213"/>
      <c r="H10" s="213"/>
      <c r="I10" s="213"/>
      <c r="J10" s="213"/>
      <c r="K10" s="40"/>
    </row>
    <row r="11" spans="2:11" ht="19.5" customHeight="1">
      <c r="B11" s="40"/>
      <c r="D11" s="213"/>
      <c r="E11" s="213"/>
      <c r="F11" s="213"/>
      <c r="G11" s="213"/>
      <c r="H11" s="213"/>
      <c r="I11" s="213"/>
      <c r="J11" s="213"/>
      <c r="K11" s="40"/>
    </row>
    <row r="12" ht="19.5" customHeight="1"/>
    <row r="13" spans="2:3" ht="19.5" customHeight="1">
      <c r="B13" s="194" t="s">
        <v>217</v>
      </c>
      <c r="C13" s="194"/>
    </row>
    <row r="14" spans="2:8" ht="19.5" customHeight="1">
      <c r="B14" s="143" t="s">
        <v>290</v>
      </c>
      <c r="C14" s="145"/>
      <c r="E14" s="178" t="s">
        <v>184</v>
      </c>
      <c r="F14" s="178"/>
      <c r="G14" s="23" t="s">
        <v>183</v>
      </c>
      <c r="H14" s="23" t="s">
        <v>181</v>
      </c>
    </row>
    <row r="15" spans="2:8" ht="15">
      <c r="B15" s="146" t="s">
        <v>240</v>
      </c>
      <c r="C15" s="134">
        <f>C14*G16</f>
        <v>0</v>
      </c>
      <c r="E15" s="112" t="s">
        <v>185</v>
      </c>
      <c r="F15" s="112"/>
      <c r="G15" s="120">
        <v>50</v>
      </c>
      <c r="H15" s="112" t="s">
        <v>187</v>
      </c>
    </row>
    <row r="16" spans="5:8" ht="15">
      <c r="E16" s="23" t="s">
        <v>186</v>
      </c>
      <c r="F16" s="23"/>
      <c r="G16" s="121">
        <v>50</v>
      </c>
      <c r="H16" s="23" t="s">
        <v>187</v>
      </c>
    </row>
    <row r="17" spans="7:8" ht="15">
      <c r="G17" s="205"/>
      <c r="H17" s="205"/>
    </row>
  </sheetData>
  <sheetProtection/>
  <mergeCells count="11">
    <mergeCell ref="A1:B1"/>
    <mergeCell ref="A2:B2"/>
    <mergeCell ref="A3:B3"/>
    <mergeCell ref="E3:J3"/>
    <mergeCell ref="F4:I4"/>
    <mergeCell ref="B13:C13"/>
    <mergeCell ref="E14:F14"/>
    <mergeCell ref="G17:H17"/>
    <mergeCell ref="F6:I6"/>
    <mergeCell ref="F5:I5"/>
    <mergeCell ref="D9:J11"/>
  </mergeCells>
  <hyperlinks>
    <hyperlink ref="B10" location="'Rebate Areas'!A1" display="Rebate Home"/>
    <hyperlink ref="D9:J11" r:id="rId1" display="Demand Control Ventilation"/>
    <hyperlink ref="J5" r:id="rId2" display="Example"/>
    <hyperlink ref="J4" r:id="rId3" display="Example"/>
    <hyperlink ref="J6" r:id="rId4" display="Example"/>
  </hyperlinks>
  <printOptions/>
  <pageMargins left="0.7" right="0.7" top="0.75" bottom="0.75" header="0.3" footer="0.3"/>
  <pageSetup fitToHeight="1" fitToWidth="1" horizontalDpi="600" verticalDpi="600" orientation="landscape" scale="83" r:id="rId5"/>
  <headerFooter>
    <oddHeader>&amp;LProgress Energy Rebate Form&amp;RUniversity of Florida</oddHeader>
  </headerFooter>
</worksheet>
</file>

<file path=xl/worksheets/sheet6.xml><?xml version="1.0" encoding="utf-8"?>
<worksheet xmlns="http://schemas.openxmlformats.org/spreadsheetml/2006/main" xmlns:r="http://schemas.openxmlformats.org/officeDocument/2006/relationships">
  <sheetPr>
    <tabColor theme="9"/>
    <pageSetUpPr fitToPage="1"/>
  </sheetPr>
  <dimension ref="A1:K24"/>
  <sheetViews>
    <sheetView zoomScalePageLayoutView="0" workbookViewId="0" topLeftCell="A1">
      <selection activeCell="G16" sqref="G16"/>
    </sheetView>
  </sheetViews>
  <sheetFormatPr defaultColWidth="9.140625" defaultRowHeight="15"/>
  <cols>
    <col min="1" max="1" width="3.421875" style="0" customWidth="1"/>
    <col min="2" max="2" width="75.7109375" style="0" customWidth="1"/>
    <col min="3" max="3" width="9.421875" style="0" customWidth="1"/>
    <col min="4" max="4" width="3.421875" style="0" customWidth="1"/>
    <col min="9" max="9" width="9.7109375" style="0" bestFit="1" customWidth="1"/>
  </cols>
  <sheetData>
    <row r="1" spans="1:10" ht="18.75" customHeight="1">
      <c r="A1" s="198" t="s">
        <v>21</v>
      </c>
      <c r="B1" s="198"/>
      <c r="C1" s="41"/>
      <c r="D1" s="46"/>
      <c r="E1" s="41"/>
      <c r="F1" s="41"/>
      <c r="G1" s="41"/>
      <c r="H1" s="41" t="s">
        <v>42</v>
      </c>
      <c r="I1" s="42">
        <f>'Small HP'!I1</f>
        <v>42670</v>
      </c>
      <c r="J1" s="41"/>
    </row>
    <row r="2" spans="1:4" ht="14.25" customHeight="1">
      <c r="A2" s="209"/>
      <c r="B2" s="209"/>
      <c r="D2" s="7"/>
    </row>
    <row r="3" spans="1:10" ht="15">
      <c r="A3" s="199" t="s">
        <v>44</v>
      </c>
      <c r="B3" s="199"/>
      <c r="D3" s="7"/>
      <c r="E3" s="202" t="s">
        <v>46</v>
      </c>
      <c r="F3" s="202"/>
      <c r="G3" s="202"/>
      <c r="H3" s="202"/>
      <c r="I3" s="202"/>
      <c r="J3" s="202"/>
    </row>
    <row r="4" spans="1:10" ht="30">
      <c r="A4" s="12">
        <v>1</v>
      </c>
      <c r="B4" s="62" t="s">
        <v>53</v>
      </c>
      <c r="C4" s="40"/>
      <c r="D4" s="28">
        <v>1</v>
      </c>
      <c r="E4" s="55"/>
      <c r="F4" s="201" t="s">
        <v>100</v>
      </c>
      <c r="G4" s="201"/>
      <c r="H4" s="201"/>
      <c r="I4" s="201"/>
      <c r="J4" s="55"/>
    </row>
    <row r="5" spans="1:10" ht="30" customHeight="1">
      <c r="A5" s="12">
        <v>2</v>
      </c>
      <c r="B5" s="62" t="s">
        <v>98</v>
      </c>
      <c r="C5" s="40"/>
      <c r="D5" s="28">
        <v>2</v>
      </c>
      <c r="E5" s="55"/>
      <c r="F5" s="203" t="s">
        <v>101</v>
      </c>
      <c r="G5" s="203"/>
      <c r="H5" s="203"/>
      <c r="I5" s="203"/>
      <c r="J5" s="84" t="s">
        <v>43</v>
      </c>
    </row>
    <row r="6" spans="1:10" ht="30">
      <c r="A6" s="12">
        <v>3</v>
      </c>
      <c r="B6" s="62" t="s">
        <v>22</v>
      </c>
      <c r="C6" s="40"/>
      <c r="D6" s="28">
        <v>3</v>
      </c>
      <c r="E6" s="55"/>
      <c r="F6" s="206" t="s">
        <v>23</v>
      </c>
      <c r="G6" s="207"/>
      <c r="H6" s="207"/>
      <c r="I6" s="208"/>
      <c r="J6" s="55"/>
    </row>
    <row r="7" spans="1:11" ht="30" customHeight="1">
      <c r="A7" s="12">
        <v>4</v>
      </c>
      <c r="B7" s="62" t="s">
        <v>99</v>
      </c>
      <c r="D7" s="213" t="s">
        <v>102</v>
      </c>
      <c r="E7" s="213"/>
      <c r="F7" s="213"/>
      <c r="G7" s="213"/>
      <c r="H7" s="213"/>
      <c r="I7" s="213"/>
      <c r="J7" s="213"/>
      <c r="K7" s="40"/>
    </row>
    <row r="8" spans="1:11" ht="15" customHeight="1">
      <c r="A8" s="12">
        <v>5</v>
      </c>
      <c r="B8" s="55" t="s">
        <v>35</v>
      </c>
      <c r="D8" s="213"/>
      <c r="E8" s="213"/>
      <c r="F8" s="213"/>
      <c r="G8" s="213"/>
      <c r="H8" s="213"/>
      <c r="I8" s="213"/>
      <c r="J8" s="213"/>
      <c r="K8" s="40"/>
    </row>
    <row r="9" spans="1:11" ht="15">
      <c r="A9" s="12">
        <v>6</v>
      </c>
      <c r="B9" s="40"/>
      <c r="D9" s="213"/>
      <c r="E9" s="213"/>
      <c r="F9" s="213"/>
      <c r="G9" s="213"/>
      <c r="H9" s="213"/>
      <c r="I9" s="213"/>
      <c r="J9" s="213"/>
      <c r="K9" s="40"/>
    </row>
    <row r="10" ht="15">
      <c r="B10" s="73" t="s">
        <v>29</v>
      </c>
    </row>
    <row r="11" spans="1:10" ht="15">
      <c r="A11" s="10"/>
      <c r="B11" s="40"/>
      <c r="D11" s="11"/>
      <c r="E11" s="11"/>
      <c r="F11" s="11"/>
      <c r="G11" s="11"/>
      <c r="H11" s="11"/>
      <c r="I11" s="11"/>
      <c r="J11" s="11"/>
    </row>
    <row r="12" spans="1:10" ht="15">
      <c r="A12" s="10"/>
      <c r="B12" s="194" t="s">
        <v>217</v>
      </c>
      <c r="C12" s="194"/>
      <c r="D12" s="11"/>
      <c r="E12" s="178" t="s">
        <v>184</v>
      </c>
      <c r="F12" s="178"/>
      <c r="G12" s="178"/>
      <c r="H12" s="23" t="s">
        <v>183</v>
      </c>
      <c r="I12" s="23" t="s">
        <v>181</v>
      </c>
      <c r="J12" s="11"/>
    </row>
    <row r="13" spans="2:10" ht="15">
      <c r="B13" s="143" t="s">
        <v>257</v>
      </c>
      <c r="C13" s="145"/>
      <c r="D13" s="11"/>
      <c r="E13" s="200" t="s">
        <v>201</v>
      </c>
      <c r="F13" s="200"/>
      <c r="G13" s="200"/>
      <c r="H13" s="126">
        <v>1.4</v>
      </c>
      <c r="I13" s="112" t="s">
        <v>203</v>
      </c>
      <c r="J13" s="11"/>
    </row>
    <row r="14" spans="2:10" ht="19.5" customHeight="1">
      <c r="B14" s="146" t="s">
        <v>240</v>
      </c>
      <c r="C14" s="255" t="str">
        <f>IF(C13*H14&lt;450,"no rebate",C13*H14)</f>
        <v>no rebate</v>
      </c>
      <c r="D14" s="11"/>
      <c r="E14" s="214" t="s">
        <v>202</v>
      </c>
      <c r="F14" s="214"/>
      <c r="G14" s="214"/>
      <c r="H14" s="125">
        <v>1.4</v>
      </c>
      <c r="I14" s="23" t="s">
        <v>203</v>
      </c>
      <c r="J14" s="11"/>
    </row>
    <row r="15" spans="1:2" s="11" customFormat="1" ht="19.5" customHeight="1">
      <c r="A15"/>
      <c r="B15"/>
    </row>
    <row r="16" spans="1:2" s="11" customFormat="1" ht="19.5" customHeight="1">
      <c r="A16"/>
      <c r="B16"/>
    </row>
    <row r="17" spans="1:2" s="11" customFormat="1" ht="19.5" customHeight="1">
      <c r="A17"/>
      <c r="B17"/>
    </row>
    <row r="18" spans="1:2" s="11" customFormat="1" ht="19.5" customHeight="1">
      <c r="A18"/>
      <c r="B18"/>
    </row>
    <row r="19" spans="1:2" s="11" customFormat="1" ht="19.5" customHeight="1">
      <c r="A19"/>
      <c r="B19"/>
    </row>
    <row r="20" spans="1:2" s="11" customFormat="1" ht="19.5" customHeight="1">
      <c r="A20"/>
      <c r="B20"/>
    </row>
    <row r="21" spans="1:10" s="11" customFormat="1" ht="19.5" customHeight="1">
      <c r="A21"/>
      <c r="B21"/>
      <c r="D21"/>
      <c r="E21"/>
      <c r="F21"/>
      <c r="G21"/>
      <c r="H21"/>
      <c r="I21"/>
      <c r="J21"/>
    </row>
    <row r="22" spans="1:10" s="11" customFormat="1" ht="19.5" customHeight="1">
      <c r="A22"/>
      <c r="B22"/>
      <c r="D22"/>
      <c r="E22"/>
      <c r="F22"/>
      <c r="G22"/>
      <c r="H22"/>
      <c r="I22"/>
      <c r="J22"/>
    </row>
    <row r="23" spans="1:10" s="11" customFormat="1" ht="19.5" customHeight="1">
      <c r="A23"/>
      <c r="B23"/>
      <c r="D23"/>
      <c r="E23"/>
      <c r="F23"/>
      <c r="G23"/>
      <c r="H23"/>
      <c r="I23"/>
      <c r="J23"/>
    </row>
    <row r="24" spans="1:10" s="11" customFormat="1" ht="19.5" customHeight="1">
      <c r="A24"/>
      <c r="B24"/>
      <c r="D24"/>
      <c r="E24"/>
      <c r="F24"/>
      <c r="G24"/>
      <c r="H24"/>
      <c r="I24"/>
      <c r="J24"/>
    </row>
    <row r="30" ht="15" customHeight="1"/>
  </sheetData>
  <sheetProtection/>
  <mergeCells count="12">
    <mergeCell ref="E13:G13"/>
    <mergeCell ref="E14:G14"/>
    <mergeCell ref="F4:I4"/>
    <mergeCell ref="F6:I6"/>
    <mergeCell ref="D7:J9"/>
    <mergeCell ref="A1:B1"/>
    <mergeCell ref="A2:B2"/>
    <mergeCell ref="A3:B3"/>
    <mergeCell ref="E3:J3"/>
    <mergeCell ref="F5:I5"/>
    <mergeCell ref="B12:C12"/>
    <mergeCell ref="E12:G12"/>
  </mergeCells>
  <hyperlinks>
    <hyperlink ref="B10" location="'Rebate Areas'!A1" display="Rebate Home"/>
    <hyperlink ref="D7:J9" r:id="rId1" display="High Efficiency Energy Recovery Ventilation"/>
    <hyperlink ref="J5" r:id="rId2" display="Example"/>
  </hyperlinks>
  <printOptions/>
  <pageMargins left="0.7" right="0.7" top="0.75" bottom="0.75" header="0.3" footer="0.3"/>
  <pageSetup fitToHeight="1" fitToWidth="1" horizontalDpi="600" verticalDpi="600" orientation="landscape" scale="83" r:id="rId3"/>
  <headerFooter>
    <oddHeader>&amp;LProgress Energy Rebate Form&amp;RUniversity of Florida</oddHeader>
  </headerFooter>
</worksheet>
</file>

<file path=xl/worksheets/sheet7.xml><?xml version="1.0" encoding="utf-8"?>
<worksheet xmlns="http://schemas.openxmlformats.org/spreadsheetml/2006/main" xmlns:r="http://schemas.openxmlformats.org/officeDocument/2006/relationships">
  <sheetPr>
    <tabColor theme="9"/>
    <pageSetUpPr fitToPage="1"/>
  </sheetPr>
  <dimension ref="A1:P30"/>
  <sheetViews>
    <sheetView zoomScalePageLayoutView="0" workbookViewId="0" topLeftCell="A1">
      <selection activeCell="C13" sqref="C13"/>
    </sheetView>
  </sheetViews>
  <sheetFormatPr defaultColWidth="9.140625" defaultRowHeight="15"/>
  <cols>
    <col min="1" max="1" width="3.421875" style="0" customWidth="1"/>
    <col min="2" max="2" width="75.7109375" style="0" customWidth="1"/>
    <col min="3" max="3" width="10.57421875" style="0" bestFit="1" customWidth="1"/>
    <col min="4" max="4" width="2.8515625" style="7" customWidth="1"/>
    <col min="9" max="9" width="9.7109375" style="0" bestFit="1" customWidth="1"/>
    <col min="12" max="12" width="30.7109375" style="0" customWidth="1"/>
    <col min="13" max="14" width="32.00390625" style="0" customWidth="1"/>
    <col min="15" max="15" width="15.7109375" style="0" customWidth="1"/>
    <col min="16" max="16" width="12.7109375" style="0" customWidth="1"/>
  </cols>
  <sheetData>
    <row r="1" spans="1:10" ht="18.75" customHeight="1">
      <c r="A1" s="198" t="s">
        <v>61</v>
      </c>
      <c r="B1" s="198"/>
      <c r="C1" s="41"/>
      <c r="D1" s="46"/>
      <c r="E1" s="41"/>
      <c r="F1" s="41"/>
      <c r="G1" s="41"/>
      <c r="H1" s="41" t="s">
        <v>42</v>
      </c>
      <c r="I1" s="42">
        <f>Unitary!I1</f>
        <v>42670</v>
      </c>
      <c r="J1" s="41"/>
    </row>
    <row r="2" spans="1:2" ht="14.25" customHeight="1">
      <c r="A2" s="224"/>
      <c r="B2" s="224"/>
    </row>
    <row r="3" spans="1:12" ht="15">
      <c r="A3" s="199" t="s">
        <v>31</v>
      </c>
      <c r="B3" s="199"/>
      <c r="E3" s="202" t="s">
        <v>46</v>
      </c>
      <c r="F3" s="202"/>
      <c r="G3" s="202"/>
      <c r="H3" s="202"/>
      <c r="I3" s="202"/>
      <c r="J3" s="202"/>
      <c r="L3" s="59" t="s">
        <v>112</v>
      </c>
    </row>
    <row r="4" spans="1:16" ht="49.5" customHeight="1">
      <c r="A4" s="12">
        <v>1</v>
      </c>
      <c r="B4" s="62" t="s">
        <v>107</v>
      </c>
      <c r="C4" s="40"/>
      <c r="D4" s="28">
        <v>1</v>
      </c>
      <c r="E4" s="55"/>
      <c r="F4" s="200" t="s">
        <v>109</v>
      </c>
      <c r="G4" s="200"/>
      <c r="H4" s="200"/>
      <c r="I4" s="200"/>
      <c r="J4" s="55"/>
      <c r="L4" s="225" t="s">
        <v>113</v>
      </c>
      <c r="M4" s="226"/>
      <c r="N4" s="227"/>
      <c r="O4" s="93"/>
      <c r="P4" s="93"/>
    </row>
    <row r="5" spans="1:16" ht="60">
      <c r="A5" s="12">
        <v>2</v>
      </c>
      <c r="B5" s="62" t="s">
        <v>108</v>
      </c>
      <c r="C5" s="40"/>
      <c r="D5" s="28">
        <v>2</v>
      </c>
      <c r="E5" s="55"/>
      <c r="F5" s="200" t="s">
        <v>110</v>
      </c>
      <c r="G5" s="200"/>
      <c r="H5" s="200"/>
      <c r="I5" s="200"/>
      <c r="J5" s="80" t="s">
        <v>43</v>
      </c>
      <c r="L5" s="101" t="s">
        <v>114</v>
      </c>
      <c r="M5" s="102" t="s">
        <v>115</v>
      </c>
      <c r="N5" s="101" t="s">
        <v>147</v>
      </c>
      <c r="O5" s="94"/>
      <c r="P5" s="19"/>
    </row>
    <row r="6" spans="1:16" ht="47.25" customHeight="1">
      <c r="A6" s="28">
        <v>3</v>
      </c>
      <c r="B6" s="55" t="s">
        <v>106</v>
      </c>
      <c r="C6" s="40"/>
      <c r="D6" s="28">
        <v>3</v>
      </c>
      <c r="E6" s="55"/>
      <c r="F6" s="201" t="s">
        <v>45</v>
      </c>
      <c r="G6" s="201"/>
      <c r="H6" s="201"/>
      <c r="I6" s="201"/>
      <c r="J6" s="68" t="s">
        <v>43</v>
      </c>
      <c r="L6" s="228" t="s">
        <v>116</v>
      </c>
      <c r="M6" s="229"/>
      <c r="N6" s="230"/>
      <c r="O6" s="95"/>
      <c r="P6" s="95"/>
    </row>
    <row r="7" spans="2:16" ht="30" customHeight="1">
      <c r="B7" s="40"/>
      <c r="C7" s="40"/>
      <c r="D7" s="28"/>
      <c r="E7" s="55"/>
      <c r="F7" s="231"/>
      <c r="G7" s="232"/>
      <c r="H7" s="232"/>
      <c r="I7" s="233"/>
      <c r="J7" s="68"/>
      <c r="L7" s="103" t="s">
        <v>118</v>
      </c>
      <c r="M7" s="104" t="s">
        <v>142</v>
      </c>
      <c r="N7" s="104" t="s">
        <v>117</v>
      </c>
      <c r="O7" s="96"/>
      <c r="P7" s="96"/>
    </row>
    <row r="8" spans="2:16" ht="30" customHeight="1">
      <c r="B8" s="86" t="s">
        <v>29</v>
      </c>
      <c r="D8" s="185" t="s">
        <v>61</v>
      </c>
      <c r="E8" s="186"/>
      <c r="F8" s="186"/>
      <c r="G8" s="186"/>
      <c r="H8" s="186"/>
      <c r="I8" s="186"/>
      <c r="J8" s="187"/>
      <c r="L8" s="103" t="s">
        <v>28</v>
      </c>
      <c r="M8" s="104" t="s">
        <v>111</v>
      </c>
      <c r="N8" s="104" t="s">
        <v>117</v>
      </c>
      <c r="O8" s="96"/>
      <c r="P8" s="96"/>
    </row>
    <row r="9" spans="2:16" ht="30" customHeight="1">
      <c r="B9" s="40"/>
      <c r="D9" s="188"/>
      <c r="E9" s="189"/>
      <c r="F9" s="189"/>
      <c r="G9" s="189"/>
      <c r="H9" s="189"/>
      <c r="I9" s="189"/>
      <c r="J9" s="190"/>
      <c r="L9" s="103" t="s">
        <v>119</v>
      </c>
      <c r="M9" s="104" t="s">
        <v>120</v>
      </c>
      <c r="N9" s="104" t="s">
        <v>121</v>
      </c>
      <c r="O9" s="96"/>
      <c r="P9" s="96"/>
    </row>
    <row r="10" spans="4:16" ht="30" customHeight="1">
      <c r="D10" s="191"/>
      <c r="E10" s="192"/>
      <c r="F10" s="192"/>
      <c r="G10" s="192"/>
      <c r="H10" s="192"/>
      <c r="I10" s="192"/>
      <c r="J10" s="193"/>
      <c r="L10" s="103" t="s">
        <v>122</v>
      </c>
      <c r="M10" s="104" t="s">
        <v>123</v>
      </c>
      <c r="N10" s="104" t="s">
        <v>121</v>
      </c>
      <c r="O10" s="97"/>
      <c r="P10" s="97"/>
    </row>
    <row r="11" spans="4:16" ht="46.5" customHeight="1">
      <c r="D11" s="89"/>
      <c r="E11" s="67"/>
      <c r="F11" s="67"/>
      <c r="G11" s="67"/>
      <c r="H11" s="67"/>
      <c r="I11" s="67"/>
      <c r="J11" s="67"/>
      <c r="L11" s="228" t="s">
        <v>124</v>
      </c>
      <c r="M11" s="229"/>
      <c r="N11" s="230"/>
      <c r="O11" s="95"/>
      <c r="P11" s="95"/>
    </row>
    <row r="12" spans="2:16" ht="30" customHeight="1">
      <c r="B12" s="194" t="s">
        <v>217</v>
      </c>
      <c r="C12" s="194"/>
      <c r="E12" s="11"/>
      <c r="F12" s="178" t="s">
        <v>184</v>
      </c>
      <c r="G12" s="178"/>
      <c r="H12" s="178"/>
      <c r="I12" s="23" t="s">
        <v>183</v>
      </c>
      <c r="J12" s="23" t="s">
        <v>181</v>
      </c>
      <c r="L12" s="103" t="s">
        <v>125</v>
      </c>
      <c r="M12" s="104" t="s">
        <v>126</v>
      </c>
      <c r="N12" s="104" t="s">
        <v>127</v>
      </c>
      <c r="O12" s="21"/>
      <c r="P12" s="21"/>
    </row>
    <row r="13" spans="1:16" s="11" customFormat="1" ht="30" customHeight="1">
      <c r="A13"/>
      <c r="B13" s="143" t="s">
        <v>241</v>
      </c>
      <c r="C13" s="145"/>
      <c r="D13" s="159"/>
      <c r="F13" s="200" t="s">
        <v>207</v>
      </c>
      <c r="G13" s="200"/>
      <c r="H13" s="200"/>
      <c r="I13" s="126">
        <v>50</v>
      </c>
      <c r="J13" s="112" t="s">
        <v>206</v>
      </c>
      <c r="L13" s="103" t="s">
        <v>128</v>
      </c>
      <c r="M13" s="104" t="s">
        <v>129</v>
      </c>
      <c r="N13" s="104" t="s">
        <v>130</v>
      </c>
      <c r="O13" s="21"/>
      <c r="P13" s="21"/>
    </row>
    <row r="14" spans="2:16" ht="30" customHeight="1">
      <c r="B14" s="144" t="s">
        <v>222</v>
      </c>
      <c r="C14" s="160">
        <f>C13*I13</f>
        <v>0</v>
      </c>
      <c r="E14" s="11"/>
      <c r="F14" s="11"/>
      <c r="G14" s="11"/>
      <c r="H14" s="11"/>
      <c r="I14" s="11"/>
      <c r="J14" s="11"/>
      <c r="L14" s="103" t="s">
        <v>28</v>
      </c>
      <c r="M14" s="104" t="s">
        <v>131</v>
      </c>
      <c r="N14" s="104" t="s">
        <v>132</v>
      </c>
      <c r="O14" s="21"/>
      <c r="P14" s="21"/>
    </row>
    <row r="15" spans="3:16" ht="30" customHeight="1">
      <c r="C15" s="40"/>
      <c r="D15" s="98"/>
      <c r="E15" s="11"/>
      <c r="F15" s="11"/>
      <c r="G15" s="11"/>
      <c r="H15" s="11"/>
      <c r="I15" s="11"/>
      <c r="J15" s="11"/>
      <c r="L15" s="103" t="s">
        <v>133</v>
      </c>
      <c r="M15" s="104" t="s">
        <v>134</v>
      </c>
      <c r="N15" s="104" t="s">
        <v>135</v>
      </c>
      <c r="O15" s="95"/>
      <c r="P15" s="95"/>
    </row>
    <row r="16" spans="5:16" ht="46.5" customHeight="1">
      <c r="E16" s="11"/>
      <c r="L16" s="228" t="s">
        <v>136</v>
      </c>
      <c r="M16" s="229"/>
      <c r="N16" s="230"/>
      <c r="O16" s="95"/>
      <c r="P16" s="95"/>
    </row>
    <row r="17" spans="12:16" ht="30" customHeight="1">
      <c r="L17" s="103" t="s">
        <v>137</v>
      </c>
      <c r="M17" s="104" t="s">
        <v>138</v>
      </c>
      <c r="N17" s="104" t="s">
        <v>139</v>
      </c>
      <c r="O17" s="96"/>
      <c r="P17" s="22"/>
    </row>
    <row r="19" spans="1:12" s="11" customFormat="1" ht="19.5" customHeight="1">
      <c r="A19"/>
      <c r="B19"/>
      <c r="D19" s="7"/>
      <c r="E19"/>
      <c r="F19"/>
      <c r="G19"/>
      <c r="H19"/>
      <c r="I19"/>
      <c r="J19"/>
      <c r="L19" s="99" t="s">
        <v>140</v>
      </c>
    </row>
    <row r="20" spans="1:12" s="11" customFormat="1" ht="19.5" customHeight="1">
      <c r="A20"/>
      <c r="B20"/>
      <c r="D20" s="7"/>
      <c r="E20"/>
      <c r="F20"/>
      <c r="G20"/>
      <c r="H20"/>
      <c r="I20"/>
      <c r="J20"/>
      <c r="L20" s="99" t="s">
        <v>141</v>
      </c>
    </row>
    <row r="21" spans="1:10" s="11" customFormat="1" ht="19.5" customHeight="1">
      <c r="A21"/>
      <c r="B21"/>
      <c r="D21" s="7"/>
      <c r="E21"/>
      <c r="F21"/>
      <c r="G21"/>
      <c r="H21"/>
      <c r="I21"/>
      <c r="J21"/>
    </row>
    <row r="22" spans="1:10" s="11" customFormat="1" ht="19.5" customHeight="1">
      <c r="A22"/>
      <c r="B22"/>
      <c r="D22" s="7"/>
      <c r="E22"/>
      <c r="F22"/>
      <c r="G22"/>
      <c r="H22"/>
      <c r="I22"/>
      <c r="J22"/>
    </row>
    <row r="23" spans="1:10" s="11" customFormat="1" ht="19.5" customHeight="1">
      <c r="A23"/>
      <c r="B23"/>
      <c r="D23" s="7"/>
      <c r="E23"/>
      <c r="F23"/>
      <c r="G23"/>
      <c r="H23"/>
      <c r="I23"/>
      <c r="J23"/>
    </row>
    <row r="24" spans="1:10" s="11" customFormat="1" ht="19.5" customHeight="1">
      <c r="A24"/>
      <c r="B24"/>
      <c r="D24" s="7"/>
      <c r="E24"/>
      <c r="F24"/>
      <c r="G24"/>
      <c r="H24"/>
      <c r="I24"/>
      <c r="J24"/>
    </row>
    <row r="25" spans="1:10" s="11" customFormat="1" ht="19.5" customHeight="1">
      <c r="A25"/>
      <c r="B25"/>
      <c r="D25" s="7"/>
      <c r="E25"/>
      <c r="F25"/>
      <c r="G25"/>
      <c r="H25"/>
      <c r="I25"/>
      <c r="J25"/>
    </row>
    <row r="26" spans="1:10" s="11" customFormat="1" ht="19.5" customHeight="1">
      <c r="A26"/>
      <c r="B26"/>
      <c r="D26" s="7"/>
      <c r="E26"/>
      <c r="F26"/>
      <c r="G26"/>
      <c r="H26"/>
      <c r="I26"/>
      <c r="J26"/>
    </row>
    <row r="27" spans="1:10" s="11" customFormat="1" ht="19.5" customHeight="1">
      <c r="A27"/>
      <c r="B27"/>
      <c r="D27" s="7"/>
      <c r="E27"/>
      <c r="F27"/>
      <c r="G27"/>
      <c r="H27"/>
      <c r="I27"/>
      <c r="J27"/>
    </row>
    <row r="28" spans="1:10" s="11" customFormat="1" ht="19.5" customHeight="1">
      <c r="A28"/>
      <c r="B28"/>
      <c r="D28" s="7"/>
      <c r="E28"/>
      <c r="F28"/>
      <c r="G28"/>
      <c r="H28"/>
      <c r="I28"/>
      <c r="J28"/>
    </row>
    <row r="30" ht="15">
      <c r="C30" s="25"/>
    </row>
  </sheetData>
  <sheetProtection/>
  <mergeCells count="16">
    <mergeCell ref="L4:N4"/>
    <mergeCell ref="L6:N6"/>
    <mergeCell ref="L11:N11"/>
    <mergeCell ref="F12:H12"/>
    <mergeCell ref="F13:H13"/>
    <mergeCell ref="L16:N16"/>
    <mergeCell ref="F7:I7"/>
    <mergeCell ref="F6:I6"/>
    <mergeCell ref="D8:J10"/>
    <mergeCell ref="B12:C12"/>
    <mergeCell ref="A3:B3"/>
    <mergeCell ref="A1:B1"/>
    <mergeCell ref="A2:B2"/>
    <mergeCell ref="E3:J3"/>
    <mergeCell ref="F4:I4"/>
    <mergeCell ref="F5:I5"/>
  </mergeCells>
  <hyperlinks>
    <hyperlink ref="D8:J10" r:id="rId1" display="High Efficiency Chillers"/>
    <hyperlink ref="J5" r:id="rId2" display="Example"/>
    <hyperlink ref="J6" r:id="rId3" display="Example"/>
    <hyperlink ref="B8" location="'Rebate Areas'!A1" display="Rebate Home"/>
  </hyperlinks>
  <printOptions/>
  <pageMargins left="0.7" right="0.7" top="0.75" bottom="0.75" header="0.3" footer="0.3"/>
  <pageSetup fitToHeight="1" fitToWidth="1" horizontalDpi="600" verticalDpi="600" orientation="landscape" scale="70" r:id="rId4"/>
  <headerFooter>
    <oddHeader>&amp;LProgress Energy Rebate Form&amp;RUniversity of Florida</oddHeader>
  </headerFooter>
</worksheet>
</file>

<file path=xl/worksheets/sheet8.xml><?xml version="1.0" encoding="utf-8"?>
<worksheet xmlns="http://schemas.openxmlformats.org/spreadsheetml/2006/main" xmlns:r="http://schemas.openxmlformats.org/officeDocument/2006/relationships">
  <sheetPr>
    <tabColor theme="9"/>
    <pageSetUpPr fitToPage="1"/>
  </sheetPr>
  <dimension ref="A1:K21"/>
  <sheetViews>
    <sheetView zoomScalePageLayoutView="0" workbookViewId="0" topLeftCell="A1">
      <selection activeCell="C14" sqref="C14:D14"/>
    </sheetView>
  </sheetViews>
  <sheetFormatPr defaultColWidth="9.140625" defaultRowHeight="15"/>
  <cols>
    <col min="1" max="1" width="3.421875" style="0" customWidth="1"/>
    <col min="2" max="2" width="75.7109375" style="0" customWidth="1"/>
    <col min="3" max="3" width="7.00390625" style="0" customWidth="1"/>
    <col min="4" max="4" width="3.8515625" style="6" customWidth="1"/>
    <col min="9" max="9" width="10.7109375" style="0" bestFit="1" customWidth="1"/>
    <col min="10" max="10" width="12.00390625" style="0" customWidth="1"/>
  </cols>
  <sheetData>
    <row r="1" spans="1:10" ht="18.75" customHeight="1">
      <c r="A1" s="198" t="s">
        <v>238</v>
      </c>
      <c r="B1" s="198"/>
      <c r="C1" s="41"/>
      <c r="D1" s="46"/>
      <c r="E1" s="41"/>
      <c r="F1" s="41"/>
      <c r="G1" s="41"/>
      <c r="H1" s="41" t="s">
        <v>42</v>
      </c>
      <c r="I1" s="42">
        <f>Ceiling!I1</f>
        <v>42670</v>
      </c>
      <c r="J1" s="41"/>
    </row>
    <row r="2" spans="1:4" ht="14.25" customHeight="1">
      <c r="A2" s="209"/>
      <c r="B2" s="209"/>
      <c r="D2" s="7"/>
    </row>
    <row r="3" spans="1:10" ht="15">
      <c r="A3" s="199" t="s">
        <v>44</v>
      </c>
      <c r="B3" s="199"/>
      <c r="D3" s="7"/>
      <c r="E3" s="202" t="s">
        <v>46</v>
      </c>
      <c r="F3" s="202"/>
      <c r="G3" s="202"/>
      <c r="H3" s="202"/>
      <c r="I3" s="202"/>
      <c r="J3" s="202"/>
    </row>
    <row r="4" spans="1:10" ht="46.5" customHeight="1">
      <c r="A4" s="12" t="s">
        <v>52</v>
      </c>
      <c r="B4" s="62" t="s">
        <v>90</v>
      </c>
      <c r="C4" s="40"/>
      <c r="D4" s="83">
        <v>1</v>
      </c>
      <c r="E4" s="55"/>
      <c r="F4" s="210" t="s">
        <v>94</v>
      </c>
      <c r="G4" s="211"/>
      <c r="H4" s="211"/>
      <c r="I4" s="212"/>
      <c r="J4" s="55"/>
    </row>
    <row r="5" spans="1:10" ht="46.5" customHeight="1">
      <c r="A5" s="12" t="s">
        <v>52</v>
      </c>
      <c r="B5" s="62" t="s">
        <v>91</v>
      </c>
      <c r="D5" s="83">
        <v>2</v>
      </c>
      <c r="E5" s="55"/>
      <c r="F5" s="223" t="s">
        <v>95</v>
      </c>
      <c r="G5" s="223"/>
      <c r="H5" s="223"/>
      <c r="I5" s="223"/>
      <c r="J5" s="28"/>
    </row>
    <row r="6" spans="1:10" ht="60" customHeight="1">
      <c r="A6" s="12" t="s">
        <v>52</v>
      </c>
      <c r="B6" s="56" t="s">
        <v>93</v>
      </c>
      <c r="D6" s="83">
        <v>3</v>
      </c>
      <c r="E6" s="108"/>
      <c r="F6" s="109" t="s">
        <v>96</v>
      </c>
      <c r="G6" s="110"/>
      <c r="H6" s="110"/>
      <c r="I6" s="111"/>
      <c r="J6" s="114" t="s">
        <v>97</v>
      </c>
    </row>
    <row r="7" spans="1:10" ht="15" customHeight="1">
      <c r="A7" s="12">
        <v>1</v>
      </c>
      <c r="B7" s="82" t="s">
        <v>33</v>
      </c>
      <c r="D7" s="185" t="s">
        <v>92</v>
      </c>
      <c r="E7" s="186"/>
      <c r="F7" s="189"/>
      <c r="G7" s="189"/>
      <c r="H7" s="189"/>
      <c r="I7" s="189"/>
      <c r="J7" s="187"/>
    </row>
    <row r="8" spans="1:10" ht="15">
      <c r="A8" s="12">
        <v>2</v>
      </c>
      <c r="B8" s="82" t="s">
        <v>34</v>
      </c>
      <c r="D8" s="188"/>
      <c r="E8" s="189"/>
      <c r="F8" s="189"/>
      <c r="G8" s="189"/>
      <c r="H8" s="189"/>
      <c r="I8" s="189"/>
      <c r="J8" s="190"/>
    </row>
    <row r="9" spans="1:10" ht="15" customHeight="1">
      <c r="A9" s="12">
        <v>3</v>
      </c>
      <c r="B9" s="67"/>
      <c r="D9" s="191"/>
      <c r="E9" s="192"/>
      <c r="F9" s="192"/>
      <c r="G9" s="192"/>
      <c r="H9" s="192"/>
      <c r="I9" s="192"/>
      <c r="J9" s="193"/>
    </row>
    <row r="10" spans="1:10" ht="15">
      <c r="A10" s="12">
        <v>4</v>
      </c>
      <c r="B10" s="73" t="s">
        <v>29</v>
      </c>
      <c r="D10" s="7"/>
      <c r="E10" s="11"/>
      <c r="F10" s="11"/>
      <c r="G10" s="11"/>
      <c r="H10" s="11"/>
      <c r="I10" s="11"/>
      <c r="J10" s="11"/>
    </row>
    <row r="11" spans="1:10" ht="15">
      <c r="A11" s="27"/>
      <c r="B11" s="40"/>
      <c r="D11" s="7"/>
      <c r="E11" s="11"/>
      <c r="F11" s="11"/>
      <c r="G11" s="11"/>
      <c r="H11" s="11"/>
      <c r="I11" s="11"/>
      <c r="J11" s="11"/>
    </row>
    <row r="12" spans="1:11" ht="15">
      <c r="A12" s="11"/>
      <c r="B12" s="216" t="s">
        <v>217</v>
      </c>
      <c r="C12" s="217"/>
      <c r="D12" s="218"/>
      <c r="F12" s="178" t="s">
        <v>184</v>
      </c>
      <c r="G12" s="178"/>
      <c r="H12" s="178"/>
      <c r="I12" s="23" t="s">
        <v>183</v>
      </c>
      <c r="J12" s="23" t="s">
        <v>181</v>
      </c>
      <c r="K12" s="40"/>
    </row>
    <row r="13" spans="1:11" s="11" customFormat="1" ht="15">
      <c r="A13"/>
      <c r="B13" s="143" t="s">
        <v>237</v>
      </c>
      <c r="C13" s="219"/>
      <c r="D13" s="220"/>
      <c r="F13" s="200" t="s">
        <v>198</v>
      </c>
      <c r="G13" s="200"/>
      <c r="H13" s="200"/>
      <c r="I13" s="120">
        <v>200</v>
      </c>
      <c r="J13" s="116" t="s">
        <v>199</v>
      </c>
      <c r="K13" s="67"/>
    </row>
    <row r="14" spans="1:11" s="11" customFormat="1" ht="15">
      <c r="A14"/>
      <c r="B14" s="13" t="s">
        <v>239</v>
      </c>
      <c r="C14" s="221"/>
      <c r="D14" s="222"/>
      <c r="F14" s="214" t="s">
        <v>200</v>
      </c>
      <c r="G14" s="214"/>
      <c r="H14" s="214"/>
      <c r="I14" s="121">
        <v>375</v>
      </c>
      <c r="J14" s="23" t="s">
        <v>199</v>
      </c>
      <c r="K14" s="67"/>
    </row>
    <row r="15" spans="1:11" s="11" customFormat="1" ht="15" customHeight="1">
      <c r="A15"/>
      <c r="B15" s="154" t="s">
        <v>240</v>
      </c>
      <c r="C15" s="215">
        <f>IF(C14="Yes",C13*I14,C13*I13)</f>
        <v>0</v>
      </c>
      <c r="D15" s="215"/>
      <c r="E15"/>
      <c r="F15"/>
      <c r="G15" s="205"/>
      <c r="H15" s="205"/>
      <c r="I15"/>
      <c r="J15"/>
      <c r="K15" s="155" t="s">
        <v>230</v>
      </c>
    </row>
    <row r="16" spans="1:11" s="11" customFormat="1" ht="15">
      <c r="A16"/>
      <c r="B16" s="154">
        <f>IF(C14="Maybe","***Requires further Investigation","")</f>
      </c>
      <c r="C16" s="157"/>
      <c r="D16" s="158"/>
      <c r="E16"/>
      <c r="F16"/>
      <c r="G16"/>
      <c r="H16"/>
      <c r="I16"/>
      <c r="J16"/>
      <c r="K16" s="155" t="s">
        <v>231</v>
      </c>
    </row>
    <row r="17" spans="2:11" s="11" customFormat="1" ht="15">
      <c r="B17"/>
      <c r="D17" s="6"/>
      <c r="E17"/>
      <c r="F17"/>
      <c r="G17"/>
      <c r="H17"/>
      <c r="I17"/>
      <c r="J17"/>
      <c r="K17" s="155" t="s">
        <v>232</v>
      </c>
    </row>
    <row r="18" spans="2:10" s="11" customFormat="1" ht="15">
      <c r="B18"/>
      <c r="D18" s="6"/>
      <c r="E18"/>
      <c r="F18"/>
      <c r="G18"/>
      <c r="H18"/>
      <c r="I18"/>
      <c r="J18"/>
    </row>
    <row r="19" spans="2:10" s="11" customFormat="1" ht="15">
      <c r="B19"/>
      <c r="D19" s="6"/>
      <c r="E19"/>
      <c r="F19"/>
      <c r="G19"/>
      <c r="H19"/>
      <c r="I19"/>
      <c r="J19"/>
    </row>
    <row r="20" spans="1:10" s="11" customFormat="1" ht="15">
      <c r="A20"/>
      <c r="B20"/>
      <c r="D20" s="6"/>
      <c r="E20"/>
      <c r="F20"/>
      <c r="G20"/>
      <c r="H20"/>
      <c r="I20"/>
      <c r="J20"/>
    </row>
    <row r="21" spans="1:10" s="11" customFormat="1" ht="15">
      <c r="A21"/>
      <c r="B21"/>
      <c r="D21" s="6"/>
      <c r="E21"/>
      <c r="F21"/>
      <c r="G21"/>
      <c r="H21"/>
      <c r="I21"/>
      <c r="J21"/>
    </row>
    <row r="30" ht="15" customHeight="1"/>
  </sheetData>
  <sheetProtection/>
  <mergeCells count="15">
    <mergeCell ref="A1:B1"/>
    <mergeCell ref="A2:B2"/>
    <mergeCell ref="A3:B3"/>
    <mergeCell ref="E3:J3"/>
    <mergeCell ref="F4:I4"/>
    <mergeCell ref="D7:J9"/>
    <mergeCell ref="F5:I5"/>
    <mergeCell ref="C15:D15"/>
    <mergeCell ref="F12:H12"/>
    <mergeCell ref="F13:H13"/>
    <mergeCell ref="F14:H14"/>
    <mergeCell ref="B12:D12"/>
    <mergeCell ref="C13:D13"/>
    <mergeCell ref="C14:D14"/>
    <mergeCell ref="G15:H15"/>
  </mergeCells>
  <dataValidations count="1">
    <dataValidation type="list" allowBlank="1" showInputMessage="1" showErrorMessage="1" sqref="C14">
      <formula1>$K$15:$K$17</formula1>
    </dataValidation>
  </dataValidations>
  <hyperlinks>
    <hyperlink ref="B10" location="'Rebate Areas'!A1" display="Rebate Home"/>
    <hyperlink ref="D7:J9" r:id="rId1" display="Small Heat Pump"/>
    <hyperlink ref="J6" r:id="rId2" display="Exanple"/>
  </hyperlinks>
  <printOptions/>
  <pageMargins left="0.7" right="0.7" top="0.75" bottom="0.75" header="0.3" footer="0.3"/>
  <pageSetup fitToHeight="1" fitToWidth="1" horizontalDpi="600" verticalDpi="600" orientation="landscape" scale="84" r:id="rId3"/>
  <headerFooter>
    <oddHeader>&amp;LProgress Energy Rebate Form&amp;RUniversity of Florida</oddHeader>
  </headerFooter>
</worksheet>
</file>

<file path=xl/worksheets/sheet9.xml><?xml version="1.0" encoding="utf-8"?>
<worksheet xmlns="http://schemas.openxmlformats.org/spreadsheetml/2006/main" xmlns:r="http://schemas.openxmlformats.org/officeDocument/2006/relationships">
  <sheetPr>
    <tabColor theme="9"/>
    <pageSetUpPr fitToPage="1"/>
  </sheetPr>
  <dimension ref="A1:L45"/>
  <sheetViews>
    <sheetView zoomScalePageLayoutView="0" workbookViewId="0" topLeftCell="A1">
      <selection activeCell="D7" sqref="D7:J9"/>
    </sheetView>
  </sheetViews>
  <sheetFormatPr defaultColWidth="9.140625" defaultRowHeight="15"/>
  <cols>
    <col min="1" max="1" width="3.421875" style="0" customWidth="1"/>
    <col min="2" max="2" width="61.00390625" style="0" customWidth="1"/>
    <col min="3" max="3" width="13.00390625" style="0" customWidth="1"/>
    <col min="4" max="4" width="3.140625" style="0" customWidth="1"/>
    <col min="5" max="5" width="15.8515625" style="0" customWidth="1"/>
    <col min="8" max="8" width="9.57421875" style="0" bestFit="1" customWidth="1"/>
    <col min="9" max="9" width="9.7109375" style="0" bestFit="1" customWidth="1"/>
    <col min="12" max="12" width="20.140625" style="0" customWidth="1"/>
    <col min="13" max="13" width="21.421875" style="0" bestFit="1" customWidth="1"/>
    <col min="14" max="14" width="12.28125" style="0" customWidth="1"/>
    <col min="15" max="15" width="15.140625" style="0" customWidth="1"/>
    <col min="16" max="16" width="12.28125" style="0" customWidth="1"/>
  </cols>
  <sheetData>
    <row r="1" spans="1:10" ht="18.75" customHeight="1">
      <c r="A1" s="48" t="s">
        <v>249</v>
      </c>
      <c r="B1" s="48"/>
      <c r="C1" s="41"/>
      <c r="D1" s="46"/>
      <c r="E1" s="41"/>
      <c r="F1" s="41"/>
      <c r="G1" s="41"/>
      <c r="H1" s="41" t="s">
        <v>42</v>
      </c>
      <c r="I1" s="42">
        <f>ERV!I1</f>
        <v>42670</v>
      </c>
      <c r="J1" s="41"/>
    </row>
    <row r="2" spans="1:4" ht="14.25" customHeight="1">
      <c r="A2" s="209"/>
      <c r="B2" s="209"/>
      <c r="D2" s="7"/>
    </row>
    <row r="3" spans="1:10" ht="15">
      <c r="A3" s="49" t="s">
        <v>44</v>
      </c>
      <c r="B3" s="50"/>
      <c r="D3" s="7"/>
      <c r="E3" s="202" t="s">
        <v>46</v>
      </c>
      <c r="F3" s="202"/>
      <c r="G3" s="202"/>
      <c r="H3" s="202"/>
      <c r="I3" s="202"/>
      <c r="J3" s="202"/>
    </row>
    <row r="4" spans="1:10" ht="75" customHeight="1">
      <c r="A4" s="12">
        <v>1</v>
      </c>
      <c r="B4" s="87" t="s">
        <v>104</v>
      </c>
      <c r="C4" s="88"/>
      <c r="D4" s="28">
        <v>1</v>
      </c>
      <c r="E4" s="55"/>
      <c r="F4" s="201" t="s">
        <v>94</v>
      </c>
      <c r="G4" s="201"/>
      <c r="H4" s="201"/>
      <c r="I4" s="201"/>
      <c r="J4" s="55"/>
    </row>
    <row r="5" spans="1:10" ht="75" customHeight="1">
      <c r="A5" s="12">
        <v>2</v>
      </c>
      <c r="B5" s="87" t="s">
        <v>105</v>
      </c>
      <c r="C5" s="85"/>
      <c r="D5" s="28">
        <v>2</v>
      </c>
      <c r="E5" s="72"/>
      <c r="F5" s="200" t="s">
        <v>96</v>
      </c>
      <c r="G5" s="200"/>
      <c r="H5" s="200"/>
      <c r="I5" s="200"/>
      <c r="J5" s="80" t="s">
        <v>43</v>
      </c>
    </row>
    <row r="6" spans="1:10" ht="30">
      <c r="A6" s="12">
        <v>3</v>
      </c>
      <c r="B6" s="85" t="s">
        <v>242</v>
      </c>
      <c r="C6" s="85"/>
      <c r="D6" s="28">
        <v>3</v>
      </c>
      <c r="E6" s="55"/>
      <c r="F6" s="200" t="s">
        <v>179</v>
      </c>
      <c r="G6" s="200"/>
      <c r="H6" s="200"/>
      <c r="I6" s="200"/>
      <c r="J6" s="72"/>
    </row>
    <row r="7" spans="1:10" ht="26.25" customHeight="1">
      <c r="A7" s="15"/>
      <c r="B7" s="86" t="s">
        <v>29</v>
      </c>
      <c r="C7" s="51"/>
      <c r="D7" s="213" t="s">
        <v>103</v>
      </c>
      <c r="E7" s="213"/>
      <c r="F7" s="213"/>
      <c r="G7" s="213"/>
      <c r="H7" s="213"/>
      <c r="I7" s="213"/>
      <c r="J7" s="213"/>
    </row>
    <row r="8" spans="1:10" ht="32.25" customHeight="1">
      <c r="A8" s="15"/>
      <c r="B8" s="85"/>
      <c r="C8" s="51"/>
      <c r="D8" s="213"/>
      <c r="E8" s="213"/>
      <c r="F8" s="213"/>
      <c r="G8" s="213"/>
      <c r="H8" s="213"/>
      <c r="I8" s="213"/>
      <c r="J8" s="213"/>
    </row>
    <row r="9" spans="1:10" s="11" customFormat="1" ht="15">
      <c r="A9" s="15"/>
      <c r="B9" s="51"/>
      <c r="C9" s="51"/>
      <c r="D9" s="213"/>
      <c r="E9" s="213"/>
      <c r="F9" s="213"/>
      <c r="G9" s="213"/>
      <c r="H9" s="213"/>
      <c r="I9" s="213"/>
      <c r="J9" s="213"/>
    </row>
    <row r="10" spans="1:5" ht="15">
      <c r="A10" s="15"/>
      <c r="B10" s="51"/>
      <c r="C10" s="51"/>
      <c r="D10" s="10"/>
      <c r="E10" s="10"/>
    </row>
    <row r="11" spans="1:5" ht="15" customHeight="1">
      <c r="A11" s="15"/>
      <c r="B11" s="51"/>
      <c r="C11" s="85"/>
      <c r="D11" s="10"/>
      <c r="E11" s="10"/>
    </row>
    <row r="12" spans="1:9" ht="15">
      <c r="A12" s="15"/>
      <c r="B12" s="194" t="s">
        <v>217</v>
      </c>
      <c r="C12" s="194"/>
      <c r="D12" s="52"/>
      <c r="E12" s="178" t="s">
        <v>184</v>
      </c>
      <c r="F12" s="178"/>
      <c r="G12" s="178"/>
      <c r="H12" s="23" t="s">
        <v>183</v>
      </c>
      <c r="I12" s="23" t="s">
        <v>181</v>
      </c>
    </row>
    <row r="13" spans="1:9" ht="30">
      <c r="A13" s="15"/>
      <c r="B13" s="143" t="s">
        <v>216</v>
      </c>
      <c r="C13" s="145">
        <v>1</v>
      </c>
      <c r="D13" s="52"/>
      <c r="E13" s="200" t="s">
        <v>204</v>
      </c>
      <c r="F13" s="200"/>
      <c r="G13" s="200"/>
      <c r="H13" s="126">
        <v>75</v>
      </c>
      <c r="I13" s="112" t="s">
        <v>206</v>
      </c>
    </row>
    <row r="14" spans="1:9" ht="15">
      <c r="A14" s="15"/>
      <c r="B14" s="23" t="str">
        <f>IF(C13&gt;0,"Please identify the unit of measurement","")</f>
        <v>Please identify the unit of measurement</v>
      </c>
      <c r="C14" s="156" t="s">
        <v>219</v>
      </c>
      <c r="D14" s="52"/>
      <c r="E14" s="214" t="s">
        <v>205</v>
      </c>
      <c r="F14" s="214"/>
      <c r="G14" s="214"/>
      <c r="H14" s="125">
        <v>75</v>
      </c>
      <c r="I14" s="23" t="s">
        <v>206</v>
      </c>
    </row>
    <row r="15" spans="1:3" ht="15.75" customHeight="1">
      <c r="A15" s="15"/>
      <c r="B15" s="13" t="str">
        <f>IF(C13&gt;0,"Please enter the cooling capacity of each AHU (found on Mech plans)","")</f>
        <v>Please enter the cooling capacity of each AHU (found on Mech plans)</v>
      </c>
      <c r="C15" s="13"/>
    </row>
    <row r="16" spans="1:3" ht="6.75" customHeight="1">
      <c r="A16" s="15"/>
      <c r="B16" s="13"/>
      <c r="C16" s="13"/>
    </row>
    <row r="17" spans="1:12" ht="15">
      <c r="A17" s="15"/>
      <c r="B17" s="130" t="str">
        <f>IF(OR($C$13=1,$C$13&gt;1),"AHU 1","")</f>
        <v>AHU 1</v>
      </c>
      <c r="C17" s="131">
        <v>175</v>
      </c>
      <c r="D17" s="132" t="str">
        <f>IF(OR($C$13=1,$C$13&gt;1),C14,"")</f>
        <v>MBTU/H</v>
      </c>
      <c r="E17" s="23"/>
      <c r="F17" s="133">
        <f>IF($C$14="MBH",C17/12,IF($C$14="MBTU/H",C17*0.83,IF($C$14="btu/h",C17*0.00083,IF($C$14="tons",C17,""))))</f>
        <v>145.25</v>
      </c>
      <c r="G17" s="23" t="str">
        <f>IF(C17&gt;1,"tons","")</f>
        <v>tons</v>
      </c>
      <c r="H17" s="134">
        <f>IF(G17="tons",F17*$H$13,"")</f>
        <v>10893.75</v>
      </c>
      <c r="I17" s="23"/>
      <c r="L17" s="139" t="s">
        <v>218</v>
      </c>
    </row>
    <row r="18" spans="1:12" ht="15">
      <c r="A18" s="15"/>
      <c r="B18" s="130">
        <f>IF(OR($C$13=2,$C$13&gt;2),"AHU 2","")</f>
      </c>
      <c r="C18" s="131"/>
      <c r="D18" s="132">
        <f>IF(OR($C$13=2,$C$13&gt;2),C14,"")</f>
      </c>
      <c r="E18" s="23"/>
      <c r="F18" s="133">
        <f aca="true" t="shared" si="0" ref="F18:F37">IF($C$14="MBH",C18/12,IF($C$14="MBTU/H",C18*0.83,IF($C$14="btu/h",C18*0.00083,IF($C$14="tons",C18,""))))</f>
        <v>0</v>
      </c>
      <c r="G18" s="23">
        <f aca="true" t="shared" si="1" ref="G18:G37">IF(C18&gt;1,"tons","")</f>
      </c>
      <c r="H18" s="134">
        <f aca="true" t="shared" si="2" ref="H18:H37">IF(G18="tons",F18*$H$13,"")</f>
      </c>
      <c r="I18" s="23"/>
      <c r="L18" s="139" t="s">
        <v>219</v>
      </c>
    </row>
    <row r="19" spans="1:12" ht="15">
      <c r="A19" s="15"/>
      <c r="B19" s="130">
        <f>IF(OR($C$13=3,$C$13&gt;3),"AHU 3","")</f>
      </c>
      <c r="C19" s="131"/>
      <c r="D19" s="132">
        <f>IF(OR($C$13=3,$C$13&gt;3),C14,"")</f>
      </c>
      <c r="E19" s="23"/>
      <c r="F19" s="133">
        <f t="shared" si="0"/>
        <v>0</v>
      </c>
      <c r="G19" s="23">
        <f t="shared" si="1"/>
      </c>
      <c r="H19" s="134">
        <f t="shared" si="2"/>
      </c>
      <c r="I19" s="135"/>
      <c r="J19" s="19"/>
      <c r="L19" s="139" t="s">
        <v>220</v>
      </c>
    </row>
    <row r="20" spans="1:12" ht="15">
      <c r="A20" s="15"/>
      <c r="B20" s="130">
        <f>IF(OR($C$13=4,$C$13&gt;4),"AHU 4","")</f>
      </c>
      <c r="C20" s="131"/>
      <c r="D20" s="132" t="str">
        <f>IF(OR($C$13=4,$C$13&gt;4),C14,"""")</f>
        <v>"</v>
      </c>
      <c r="E20" s="23"/>
      <c r="F20" s="133">
        <f t="shared" si="0"/>
        <v>0</v>
      </c>
      <c r="G20" s="23">
        <f t="shared" si="1"/>
      </c>
      <c r="H20" s="134">
        <f t="shared" si="2"/>
      </c>
      <c r="I20" s="135"/>
      <c r="J20" s="20"/>
      <c r="L20" s="139" t="s">
        <v>221</v>
      </c>
    </row>
    <row r="21" spans="1:10" ht="15">
      <c r="A21" s="15"/>
      <c r="B21" s="130">
        <f>IF(OR($C$13=5,$C$13&gt;5),"AHU 5","")</f>
      </c>
      <c r="C21" s="140"/>
      <c r="D21" s="132">
        <f>IF(OR($C$13=5,$C$13&gt;5),C14,"")</f>
      </c>
      <c r="E21" s="23"/>
      <c r="F21" s="133">
        <f t="shared" si="0"/>
        <v>0</v>
      </c>
      <c r="G21" s="23">
        <f t="shared" si="1"/>
      </c>
      <c r="H21" s="134">
        <f t="shared" si="2"/>
      </c>
      <c r="I21" s="136"/>
      <c r="J21" s="24"/>
    </row>
    <row r="22" spans="1:10" ht="15">
      <c r="A22" s="15"/>
      <c r="B22" s="130">
        <f>IF(OR($C$13=6,$C$13&gt;6),"AHU 6","")</f>
      </c>
      <c r="C22" s="131"/>
      <c r="D22" s="132">
        <f>IF(OR($C$13=6,$C$13&gt;6),C14,"")</f>
      </c>
      <c r="E22" s="23"/>
      <c r="F22" s="133">
        <f t="shared" si="0"/>
        <v>0</v>
      </c>
      <c r="G22" s="23">
        <f t="shared" si="1"/>
      </c>
      <c r="H22" s="134">
        <f t="shared" si="2"/>
      </c>
      <c r="I22" s="137"/>
      <c r="J22" s="22"/>
    </row>
    <row r="23" spans="1:11" ht="15">
      <c r="A23" s="15"/>
      <c r="B23" s="130">
        <f>IF(OR($C$13=7,$C$13&gt;7),"AHU 7","")</f>
      </c>
      <c r="C23" s="131"/>
      <c r="D23" s="132">
        <f>IF(OR($C$13=7,$C$13&gt;7),C14,"")</f>
      </c>
      <c r="E23" s="23"/>
      <c r="F23" s="133">
        <f t="shared" si="0"/>
        <v>0</v>
      </c>
      <c r="G23" s="23">
        <f t="shared" si="1"/>
      </c>
      <c r="H23" s="134">
        <f t="shared" si="2"/>
      </c>
      <c r="I23" s="137"/>
      <c r="J23" s="22"/>
      <c r="K23" s="19"/>
    </row>
    <row r="24" spans="1:11" ht="15">
      <c r="A24" s="15"/>
      <c r="B24" s="130">
        <f>IF(OR($C$13=8,$C$13&gt;8),"AHU 8","")</f>
      </c>
      <c r="C24" s="131"/>
      <c r="D24" s="132">
        <f>IF(OR($C$13=8,$C$13&gt;8),C14,"")</f>
      </c>
      <c r="E24" s="23"/>
      <c r="F24" s="133">
        <f t="shared" si="0"/>
        <v>0</v>
      </c>
      <c r="G24" s="23">
        <f t="shared" si="1"/>
      </c>
      <c r="H24" s="134">
        <f t="shared" si="2"/>
      </c>
      <c r="I24" s="137"/>
      <c r="J24" s="22"/>
      <c r="K24" s="20"/>
    </row>
    <row r="25" spans="1:11" ht="15">
      <c r="A25" s="15"/>
      <c r="B25" s="130">
        <f>IF(OR($C$13=9,$C$13&gt;9),"AHU 9","")</f>
      </c>
      <c r="C25" s="141"/>
      <c r="D25" s="132">
        <f>IF(OR($C$13=9,$C$13&gt;9),C14,"")</f>
      </c>
      <c r="E25" s="23"/>
      <c r="F25" s="133">
        <f t="shared" si="0"/>
        <v>0</v>
      </c>
      <c r="G25" s="23">
        <f t="shared" si="1"/>
      </c>
      <c r="H25" s="134">
        <f t="shared" si="2"/>
      </c>
      <c r="I25" s="137"/>
      <c r="K25" s="24"/>
    </row>
    <row r="26" spans="1:11" ht="15">
      <c r="A26" s="15"/>
      <c r="B26" s="130">
        <f>IF(OR($C$13=10,$C$13&gt;10),"AHU 10","")</f>
      </c>
      <c r="C26" s="142"/>
      <c r="D26" s="132">
        <f>IF(OR($C$13=10,$C$13&gt;10),C14,"")</f>
      </c>
      <c r="E26" s="23"/>
      <c r="F26" s="133">
        <f t="shared" si="0"/>
        <v>0</v>
      </c>
      <c r="G26" s="23">
        <f t="shared" si="1"/>
      </c>
      <c r="H26" s="134">
        <f t="shared" si="2"/>
      </c>
      <c r="I26" s="136"/>
      <c r="K26" s="22"/>
    </row>
    <row r="27" spans="1:11" ht="15">
      <c r="A27" s="15"/>
      <c r="B27" s="130">
        <f>IF(OR($C$13=11,$C$13&gt;11),"AHU 11","")</f>
      </c>
      <c r="C27" s="141"/>
      <c r="D27" s="132">
        <f>IF(OR($C$13=11,$C$13&gt;11),C14,"")</f>
      </c>
      <c r="E27" s="23"/>
      <c r="F27" s="133">
        <f t="shared" si="0"/>
        <v>0</v>
      </c>
      <c r="G27" s="23">
        <f t="shared" si="1"/>
      </c>
      <c r="H27" s="134">
        <f t="shared" si="2"/>
      </c>
      <c r="I27" s="137"/>
      <c r="K27" s="22"/>
    </row>
    <row r="28" spans="1:11" ht="15">
      <c r="A28" s="15"/>
      <c r="B28" s="130">
        <f>IF(OR($C$13=12,$C$13&gt;12),"AHU 12","")</f>
      </c>
      <c r="C28" s="141"/>
      <c r="D28" s="132">
        <f>IF(OR($C$13=12,$C$13&gt;12),C14,"")</f>
      </c>
      <c r="E28" s="23"/>
      <c r="F28" s="133">
        <f t="shared" si="0"/>
        <v>0</v>
      </c>
      <c r="G28" s="23">
        <f t="shared" si="1"/>
      </c>
      <c r="H28" s="134">
        <f t="shared" si="2"/>
      </c>
      <c r="I28" s="137"/>
      <c r="K28" s="22"/>
    </row>
    <row r="29" spans="1:9" ht="15.75" customHeight="1">
      <c r="A29" s="15"/>
      <c r="B29" s="130">
        <f>IF(OR($C$13=13,$C$13&gt;13),"AHU 13","")</f>
      </c>
      <c r="C29" s="141"/>
      <c r="D29" s="132">
        <f>IF(OR($C$13=13,$C$13&gt;13),C14,"")</f>
      </c>
      <c r="E29" s="23"/>
      <c r="F29" s="133">
        <f t="shared" si="0"/>
        <v>0</v>
      </c>
      <c r="G29" s="23">
        <f t="shared" si="1"/>
      </c>
      <c r="H29" s="134">
        <f t="shared" si="2"/>
      </c>
      <c r="I29" s="23"/>
    </row>
    <row r="30" spans="1:9" ht="15">
      <c r="A30" s="15"/>
      <c r="B30" s="130">
        <f>IF(OR($C$13=14,$C$13&gt;14),"AHU 14","")</f>
      </c>
      <c r="C30" s="141"/>
      <c r="D30" s="132">
        <f>IF(OR($C$13=14,$C$13&gt;14),C14,"")</f>
      </c>
      <c r="E30" s="23"/>
      <c r="F30" s="133">
        <f t="shared" si="0"/>
        <v>0</v>
      </c>
      <c r="G30" s="23">
        <f t="shared" si="1"/>
      </c>
      <c r="H30" s="134">
        <f t="shared" si="2"/>
      </c>
      <c r="I30" s="23"/>
    </row>
    <row r="31" spans="1:9" ht="15">
      <c r="A31" s="15"/>
      <c r="B31" s="130">
        <f>IF(OR($C$13=15,$C$13&gt;15),"AHU 15","")</f>
      </c>
      <c r="C31" s="141"/>
      <c r="D31" s="132">
        <f>IF(OR($C$13=15,$C$13&gt;15),C14,"")</f>
      </c>
      <c r="E31" s="23"/>
      <c r="F31" s="133">
        <f t="shared" si="0"/>
        <v>0</v>
      </c>
      <c r="G31" s="23">
        <f t="shared" si="1"/>
      </c>
      <c r="H31" s="134">
        <f t="shared" si="2"/>
      </c>
      <c r="I31" s="23"/>
    </row>
    <row r="32" spans="1:9" ht="15">
      <c r="A32" s="15"/>
      <c r="B32" s="130">
        <f>IF(OR($C$13=16,$C$13&gt;16),"AHU 16","")</f>
      </c>
      <c r="C32" s="141"/>
      <c r="D32" s="132">
        <f>IF(OR($C$13=16,$C$13&gt;16),C14,"")</f>
      </c>
      <c r="E32" s="23"/>
      <c r="F32" s="133">
        <f t="shared" si="0"/>
        <v>0</v>
      </c>
      <c r="G32" s="23">
        <f t="shared" si="1"/>
      </c>
      <c r="H32" s="134">
        <f t="shared" si="2"/>
      </c>
      <c r="I32" s="23"/>
    </row>
    <row r="33" spans="1:9" ht="16.5" customHeight="1">
      <c r="A33" s="15"/>
      <c r="B33" s="130">
        <f>IF(OR($C$13=17,$C$13&gt;17),"AHU 17","")</f>
      </c>
      <c r="C33" s="141"/>
      <c r="D33" s="132">
        <f>IF(OR($C$13=17,$C$13&gt;17),C14,"")</f>
      </c>
      <c r="E33" s="23"/>
      <c r="F33" s="133">
        <f t="shared" si="0"/>
        <v>0</v>
      </c>
      <c r="G33" s="23">
        <f t="shared" si="1"/>
      </c>
      <c r="H33" s="134">
        <f t="shared" si="2"/>
      </c>
      <c r="I33" s="23"/>
    </row>
    <row r="34" spans="1:9" ht="15">
      <c r="A34" s="15"/>
      <c r="B34" s="130">
        <f>IF(OR($C$13=18,$C$13&gt;18),"AHU 18","")</f>
      </c>
      <c r="C34" s="141"/>
      <c r="D34" s="132">
        <f>IF(OR($C$13=18,$C$13&gt;18),C14,"")</f>
      </c>
      <c r="E34" s="23"/>
      <c r="F34" s="133">
        <f t="shared" si="0"/>
        <v>0</v>
      </c>
      <c r="G34" s="23">
        <f t="shared" si="1"/>
      </c>
      <c r="H34" s="134">
        <f t="shared" si="2"/>
      </c>
      <c r="I34" s="23"/>
    </row>
    <row r="35" spans="1:9" ht="16.5" customHeight="1">
      <c r="A35" s="15"/>
      <c r="B35" s="130">
        <f>IF(OR($C$13=19,$C$13&gt;19),"AHU 19","")</f>
      </c>
      <c r="C35" s="141"/>
      <c r="D35" s="132">
        <f>IF(OR($C$13=19,$C$13&gt;19),C14,"")</f>
      </c>
      <c r="E35" s="23"/>
      <c r="F35" s="133">
        <f t="shared" si="0"/>
        <v>0</v>
      </c>
      <c r="G35" s="23">
        <f t="shared" si="1"/>
      </c>
      <c r="H35" s="134">
        <f t="shared" si="2"/>
      </c>
      <c r="I35" s="23"/>
    </row>
    <row r="36" spans="1:9" ht="15">
      <c r="A36" s="15"/>
      <c r="B36" s="130">
        <f>IF(OR($C$13=20,$C$13&gt;20),"AHU 20","")</f>
      </c>
      <c r="C36" s="141"/>
      <c r="D36" s="132">
        <f>IF(OR($C$13=20,$C$13&gt;20),C14,"")</f>
      </c>
      <c r="E36" s="23"/>
      <c r="F36" s="133">
        <f t="shared" si="0"/>
        <v>0</v>
      </c>
      <c r="G36" s="23">
        <f t="shared" si="1"/>
      </c>
      <c r="H36" s="134">
        <f t="shared" si="2"/>
      </c>
      <c r="I36" s="23"/>
    </row>
    <row r="37" spans="1:9" ht="17.25" customHeight="1">
      <c r="A37" s="15"/>
      <c r="B37" s="23"/>
      <c r="C37" s="141"/>
      <c r="D37" s="138"/>
      <c r="E37" s="23"/>
      <c r="F37" s="133">
        <f t="shared" si="0"/>
        <v>0</v>
      </c>
      <c r="G37" s="23">
        <f t="shared" si="1"/>
      </c>
      <c r="H37" s="134">
        <f t="shared" si="2"/>
      </c>
      <c r="I37" s="23"/>
    </row>
    <row r="38" spans="1:8" ht="18.75">
      <c r="A38" s="15"/>
      <c r="G38" s="128" t="s">
        <v>222</v>
      </c>
      <c r="H38" s="129">
        <f>SUM(H17:H37)</f>
        <v>10893.75</v>
      </c>
    </row>
    <row r="39" ht="33.75" customHeight="1">
      <c r="A39" s="15"/>
    </row>
    <row r="40" ht="33.75" customHeight="1">
      <c r="A40" s="15"/>
    </row>
    <row r="41" spans="1:5" ht="33.75" customHeight="1">
      <c r="A41" s="15"/>
      <c r="D41" s="17"/>
      <c r="E41" s="18"/>
    </row>
    <row r="42" ht="15">
      <c r="A42" s="15"/>
    </row>
    <row r="43" ht="33.75" customHeight="1">
      <c r="A43" s="15"/>
    </row>
    <row r="44" spans="1:2" ht="33.75" customHeight="1">
      <c r="A44" s="15"/>
      <c r="B44" s="16"/>
    </row>
    <row r="45" spans="1:3" ht="15">
      <c r="A45" s="15"/>
      <c r="C45" s="17"/>
    </row>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mergeCells count="10">
    <mergeCell ref="E14:G14"/>
    <mergeCell ref="F6:I6"/>
    <mergeCell ref="D7:J9"/>
    <mergeCell ref="F5:I5"/>
    <mergeCell ref="A2:B2"/>
    <mergeCell ref="E3:J3"/>
    <mergeCell ref="F4:I4"/>
    <mergeCell ref="B12:C12"/>
    <mergeCell ref="E12:G12"/>
    <mergeCell ref="E13:G13"/>
  </mergeCells>
  <dataValidations count="1">
    <dataValidation type="list" allowBlank="1" showInputMessage="1" showErrorMessage="1" sqref="C14">
      <formula1>$L$16:$L$20</formula1>
    </dataValidation>
  </dataValidations>
  <hyperlinks>
    <hyperlink ref="B7" location="'Rebate Areas'!A1" display="Rebate Home"/>
    <hyperlink ref="D7:J9" r:id="rId1" display="Unitary AC Units &amp; Heat Pumps (&gt;65,000"/>
    <hyperlink ref="J5" r:id="rId2" display="Example"/>
  </hyperlinks>
  <printOptions/>
  <pageMargins left="0.7" right="0.7" top="0.75" bottom="0.75" header="0.3" footer="0.3"/>
  <pageSetup fitToHeight="1" fitToWidth="1" horizontalDpi="600" verticalDpi="600" orientation="landscape" scale="86" r:id="rId4"/>
  <headerFooter>
    <oddHeader>&amp;LProgress Energy Rebate Form&amp;RUniversity of Florida</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Operations Analysis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ejdyke</dc:creator>
  <cp:keywords/>
  <dc:description/>
  <cp:lastModifiedBy>Windows User</cp:lastModifiedBy>
  <cp:lastPrinted>2017-02-10T14:46:22Z</cp:lastPrinted>
  <dcterms:created xsi:type="dcterms:W3CDTF">2010-12-03T13:18:01Z</dcterms:created>
  <dcterms:modified xsi:type="dcterms:W3CDTF">2019-08-01T20:51:13Z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